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acathelyns_deloitte_com/Documents/Documents/Volley/BWBC/Trésorerie/"/>
    </mc:Choice>
  </mc:AlternateContent>
  <xr:revisionPtr revIDLastSave="41" documentId="8_{2D639914-9AAC-4415-AA1C-B43189BB35EE}" xr6:coauthVersionLast="47" xr6:coauthVersionMax="47" xr10:uidLastSave="{024A132B-B682-49AE-B5C1-3C187704CEF1}"/>
  <bookViews>
    <workbookView xWindow="-120" yWindow="-120" windowWidth="24240" windowHeight="13140" xr2:uid="{7831FAF9-7D27-4704-B707-AB6403691E04}"/>
  </bookViews>
  <sheets>
    <sheet name="Budget 2022-2023" sheetId="9" r:id="rId1"/>
  </sheets>
  <definedNames>
    <definedName name="_xlnm.Print_Area" localSheetId="0">'Budget 2022-2023'!$A$1:$Q$76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9" l="1"/>
  <c r="B41" i="9"/>
  <c r="C37" i="9"/>
  <c r="D37" i="9"/>
  <c r="E37" i="9"/>
  <c r="F37" i="9"/>
  <c r="G37" i="9"/>
  <c r="H37" i="9"/>
  <c r="B37" i="9"/>
  <c r="B43" i="9"/>
  <c r="B27" i="9" l="1"/>
  <c r="B21" i="9"/>
  <c r="D45" i="9" l="1"/>
  <c r="D59" i="9"/>
  <c r="D58" i="9"/>
  <c r="D57" i="9"/>
  <c r="D56" i="9"/>
  <c r="D55" i="9"/>
  <c r="D54" i="9"/>
  <c r="D53" i="9"/>
  <c r="Q52" i="9"/>
  <c r="Q51" i="9" s="1"/>
  <c r="P52" i="9"/>
  <c r="P51" i="9" s="1"/>
  <c r="O52" i="9"/>
  <c r="O51" i="9" s="1"/>
  <c r="N52" i="9"/>
  <c r="N51" i="9" s="1"/>
  <c r="M52" i="9"/>
  <c r="M51" i="9" s="1"/>
  <c r="L52" i="9"/>
  <c r="L51" i="9" s="1"/>
  <c r="K52" i="9"/>
  <c r="K51" i="9" s="1"/>
  <c r="H52" i="9"/>
  <c r="H51" i="9" s="1"/>
  <c r="G52" i="9"/>
  <c r="G51" i="9" s="1"/>
  <c r="F52" i="9"/>
  <c r="F51" i="9" s="1"/>
  <c r="E52" i="9"/>
  <c r="E51" i="9" s="1"/>
  <c r="C52" i="9"/>
  <c r="C51" i="9" s="1"/>
  <c r="B52" i="9"/>
  <c r="B51" i="9" s="1"/>
  <c r="B69" i="9"/>
  <c r="B68" i="9"/>
  <c r="B67" i="9"/>
  <c r="B66" i="9"/>
  <c r="B65" i="9"/>
  <c r="B40" i="9"/>
  <c r="B39" i="9"/>
  <c r="B38" i="9"/>
  <c r="C34" i="9"/>
  <c r="E34" i="9"/>
  <c r="F34" i="9"/>
  <c r="G34" i="9"/>
  <c r="H34" i="9"/>
  <c r="B34" i="9"/>
  <c r="C31" i="9"/>
  <c r="E31" i="9"/>
  <c r="F31" i="9"/>
  <c r="G31" i="9"/>
  <c r="H31" i="9"/>
  <c r="B31" i="9"/>
  <c r="C26" i="9"/>
  <c r="E26" i="9"/>
  <c r="F26" i="9"/>
  <c r="G26" i="9"/>
  <c r="H26" i="9"/>
  <c r="B26" i="9"/>
  <c r="C17" i="9"/>
  <c r="E17" i="9"/>
  <c r="B17" i="9"/>
  <c r="C3" i="9"/>
  <c r="E3" i="9"/>
  <c r="B3" i="9"/>
  <c r="K69" i="9"/>
  <c r="K68" i="9"/>
  <c r="K67" i="9"/>
  <c r="K66" i="9"/>
  <c r="D52" i="9" l="1"/>
  <c r="D51" i="9" s="1"/>
  <c r="B70" i="9"/>
  <c r="K65" i="9" l="1"/>
  <c r="K70" i="9" l="1"/>
  <c r="Q70" i="9" l="1"/>
  <c r="P70" i="9"/>
  <c r="O73" i="9"/>
  <c r="L73" i="9"/>
  <c r="F73" i="9"/>
  <c r="C73" i="9"/>
  <c r="K19" i="9"/>
  <c r="K37" i="9" l="1"/>
  <c r="K34" i="9"/>
  <c r="K31" i="9"/>
  <c r="K26" i="9"/>
  <c r="K17" i="9"/>
  <c r="K3" i="9"/>
  <c r="B25" i="9"/>
  <c r="M73" i="9"/>
  <c r="D73" i="9"/>
  <c r="M72" i="9"/>
  <c r="D72" i="9"/>
  <c r="N70" i="9"/>
  <c r="H45" i="9"/>
  <c r="H25" i="9" s="1"/>
  <c r="D44" i="9"/>
  <c r="D43" i="9"/>
  <c r="D42" i="9"/>
  <c r="D41" i="9"/>
  <c r="D39" i="9"/>
  <c r="D38" i="9"/>
  <c r="Q37" i="9"/>
  <c r="P37" i="9"/>
  <c r="O37" i="9"/>
  <c r="N37" i="9"/>
  <c r="M37" i="9"/>
  <c r="L37" i="9"/>
  <c r="G25" i="9"/>
  <c r="E25" i="9"/>
  <c r="M36" i="9"/>
  <c r="D35" i="9"/>
  <c r="M35" i="9"/>
  <c r="D36" i="9"/>
  <c r="Q34" i="9"/>
  <c r="P34" i="9"/>
  <c r="O34" i="9"/>
  <c r="N34" i="9"/>
  <c r="L34" i="9"/>
  <c r="D32" i="9"/>
  <c r="M32" i="9"/>
  <c r="M31" i="9" s="1"/>
  <c r="D33" i="9"/>
  <c r="Q31" i="9"/>
  <c r="P31" i="9"/>
  <c r="O31" i="9"/>
  <c r="N31" i="9"/>
  <c r="L31" i="9"/>
  <c r="D30" i="9"/>
  <c r="D28" i="9"/>
  <c r="M28" i="9"/>
  <c r="D29" i="9"/>
  <c r="M27" i="9"/>
  <c r="D27" i="9"/>
  <c r="Q26" i="9"/>
  <c r="P26" i="9"/>
  <c r="O26" i="9"/>
  <c r="N26" i="9"/>
  <c r="L26" i="9"/>
  <c r="D21" i="9"/>
  <c r="D22" i="9"/>
  <c r="D20" i="9"/>
  <c r="D19" i="9"/>
  <c r="O19" i="9"/>
  <c r="M19" i="9" s="1"/>
  <c r="L19" i="9"/>
  <c r="L17" i="9" s="1"/>
  <c r="D23" i="9"/>
  <c r="M18" i="9"/>
  <c r="H18" i="9"/>
  <c r="H17" i="9" s="1"/>
  <c r="G18" i="9"/>
  <c r="G17" i="9" s="1"/>
  <c r="F18" i="9"/>
  <c r="F17" i="9" s="1"/>
  <c r="Q17" i="9"/>
  <c r="P17" i="9"/>
  <c r="N17" i="9"/>
  <c r="D10" i="9"/>
  <c r="D12" i="9"/>
  <c r="F9" i="9"/>
  <c r="D14" i="9"/>
  <c r="D13" i="9"/>
  <c r="D8" i="9"/>
  <c r="D7" i="9"/>
  <c r="D15" i="9"/>
  <c r="G11" i="9"/>
  <c r="D11" i="9"/>
  <c r="D6" i="9"/>
  <c r="M5" i="9"/>
  <c r="D5" i="9"/>
  <c r="M4" i="9"/>
  <c r="H4" i="9"/>
  <c r="H3" i="9" s="1"/>
  <c r="G4" i="9"/>
  <c r="D4" i="9"/>
  <c r="Q3" i="9"/>
  <c r="P3" i="9"/>
  <c r="O3" i="9"/>
  <c r="N3" i="9"/>
  <c r="L3" i="9"/>
  <c r="O25" i="9" l="1"/>
  <c r="N25" i="9"/>
  <c r="N48" i="9" s="1"/>
  <c r="L25" i="9"/>
  <c r="L48" i="9" s="1"/>
  <c r="Q25" i="9"/>
  <c r="Q48" i="9" s="1"/>
  <c r="P25" i="9"/>
  <c r="P48" i="9" s="1"/>
  <c r="K25" i="9"/>
  <c r="K48" i="9" s="1"/>
  <c r="K76" i="9" s="1"/>
  <c r="D34" i="9"/>
  <c r="D31" i="9"/>
  <c r="D26" i="9"/>
  <c r="G3" i="9"/>
  <c r="D9" i="9"/>
  <c r="D3" i="9" s="1"/>
  <c r="F3" i="9"/>
  <c r="D18" i="9"/>
  <c r="D17" i="9" s="1"/>
  <c r="B48" i="9"/>
  <c r="K63" i="9" s="1"/>
  <c r="M17" i="9"/>
  <c r="M34" i="9"/>
  <c r="O17" i="9"/>
  <c r="O48" i="9" s="1"/>
  <c r="O61" i="9" s="1"/>
  <c r="M3" i="9"/>
  <c r="M26" i="9"/>
  <c r="F25" i="9"/>
  <c r="E48" i="9"/>
  <c r="H48" i="9"/>
  <c r="B76" i="9" l="1"/>
  <c r="L61" i="9"/>
  <c r="C25" i="9"/>
  <c r="C48" i="9" s="1"/>
  <c r="D25" i="9"/>
  <c r="D48" i="9" s="1"/>
  <c r="D61" i="9" s="1"/>
  <c r="D75" i="9" s="1"/>
  <c r="M25" i="9"/>
  <c r="M48" i="9" s="1"/>
  <c r="H61" i="9"/>
  <c r="H75" i="9" s="1"/>
  <c r="B61" i="9"/>
  <c r="B63" i="9" s="1"/>
  <c r="Q75" i="9"/>
  <c r="Q61" i="9"/>
  <c r="N75" i="9"/>
  <c r="N61" i="9"/>
  <c r="E61" i="9"/>
  <c r="E75" i="9" s="1"/>
  <c r="P75" i="9"/>
  <c r="P61" i="9"/>
  <c r="K61" i="9"/>
  <c r="K75" i="9" s="1"/>
  <c r="G48" i="9"/>
  <c r="F48" i="9"/>
  <c r="M61" i="9" l="1"/>
  <c r="B75" i="9"/>
  <c r="C61" i="9"/>
  <c r="C75" i="9" s="1"/>
  <c r="F61" i="9"/>
  <c r="F75" i="9" s="1"/>
  <c r="G61" i="9"/>
  <c r="G75" i="9" s="1"/>
  <c r="L63" i="9"/>
  <c r="C49" i="9" s="1"/>
  <c r="L68" i="9" l="1"/>
  <c r="L67" i="9"/>
  <c r="L66" i="9"/>
  <c r="L69" i="9"/>
  <c r="L65" i="9"/>
  <c r="D49" i="9"/>
  <c r="O68" i="9" l="1"/>
  <c r="M68" i="9" s="1"/>
  <c r="O67" i="9"/>
  <c r="M67" i="9" s="1"/>
  <c r="O66" i="9"/>
  <c r="M66" i="9" s="1"/>
  <c r="L70" i="9"/>
  <c r="L75" i="9" s="1"/>
  <c r="O65" i="9"/>
  <c r="M65" i="9" s="1"/>
  <c r="O69" i="9"/>
  <c r="M69" i="9" s="1"/>
  <c r="O70" i="9" l="1"/>
  <c r="O63" i="9" s="1"/>
  <c r="M70" i="9"/>
  <c r="M75" i="9" s="1"/>
  <c r="O75" i="9" l="1"/>
</calcChain>
</file>

<file path=xl/sharedStrings.xml><?xml version="1.0" encoding="utf-8"?>
<sst xmlns="http://schemas.openxmlformats.org/spreadsheetml/2006/main" count="122" uniqueCount="74">
  <si>
    <t/>
  </si>
  <si>
    <t>Equipe en championnat (arbitrage)</t>
  </si>
  <si>
    <t>Comm Prov Statuts &amp; Regl.</t>
  </si>
  <si>
    <t>Commission Examen</t>
  </si>
  <si>
    <t>Amortissements</t>
  </si>
  <si>
    <t>Provision créances douteuses</t>
  </si>
  <si>
    <t>Recettes</t>
  </si>
  <si>
    <t>Inscriptions Championnat</t>
  </si>
  <si>
    <t>Inscriptions Loisirs</t>
  </si>
  <si>
    <t>Licences + 18 Ans</t>
  </si>
  <si>
    <t>Licences - 18 Ans</t>
  </si>
  <si>
    <t>Licence Loisirs</t>
  </si>
  <si>
    <t>Divers</t>
  </si>
  <si>
    <t>Plan de Développement Sportif</t>
  </si>
  <si>
    <t>BUDGET 2021</t>
  </si>
  <si>
    <t>BUDGET 2020</t>
  </si>
  <si>
    <t>TOTAL</t>
  </si>
  <si>
    <t>Saison 20-21</t>
  </si>
  <si>
    <t>Saison 21-22</t>
  </si>
  <si>
    <t>Administration</t>
  </si>
  <si>
    <t>OA (réunions)</t>
  </si>
  <si>
    <t>AG (réunions)</t>
  </si>
  <si>
    <t>Informatique</t>
  </si>
  <si>
    <t>Frais publication Moniteur</t>
  </si>
  <si>
    <t>Site web</t>
  </si>
  <si>
    <t>Note de frais (déplacements, autres)</t>
  </si>
  <si>
    <t>Matériel</t>
  </si>
  <si>
    <t>Cours</t>
  </si>
  <si>
    <t>Equipements arbitres</t>
  </si>
  <si>
    <t>Location Salles</t>
  </si>
  <si>
    <t>Ballons</t>
  </si>
  <si>
    <t>Commission Technique</t>
  </si>
  <si>
    <t>SUBTOTAL</t>
  </si>
  <si>
    <t>Dépenses</t>
  </si>
  <si>
    <t>Arbitres manquants</t>
  </si>
  <si>
    <t>Amendes envers les arbitres</t>
  </si>
  <si>
    <t>Amendes administratives (absence AG)</t>
  </si>
  <si>
    <t>Détermination du X</t>
  </si>
  <si>
    <t>Missing</t>
  </si>
  <si>
    <t>Charges financières</t>
  </si>
  <si>
    <t>Frais d'arbitrage</t>
  </si>
  <si>
    <t>Forfaits généraux</t>
  </si>
  <si>
    <t>Amendes CPC</t>
  </si>
  <si>
    <t>Amendes</t>
  </si>
  <si>
    <t>Modification calendrier</t>
  </si>
  <si>
    <t>Visionnement (indemnité et déplacement)</t>
  </si>
  <si>
    <t>Ballons donnés/récompense</t>
  </si>
  <si>
    <t>AG</t>
  </si>
  <si>
    <t>Remboursement équipes sous conditions jeunes</t>
  </si>
  <si>
    <t>Cellule Arbitrage</t>
  </si>
  <si>
    <t>Rencontres séniors</t>
  </si>
  <si>
    <t>Cellule Sportive</t>
  </si>
  <si>
    <t>Rencontres Loisirs</t>
  </si>
  <si>
    <t>Qualifications francophones</t>
  </si>
  <si>
    <t>BUDGET REVISE 
2021</t>
  </si>
  <si>
    <t>BUDGET 
2022</t>
  </si>
  <si>
    <t>Saison 22-23</t>
  </si>
  <si>
    <t>BUDGET
2022-2023</t>
  </si>
  <si>
    <t>Notes de frais OA (déplacement)</t>
  </si>
  <si>
    <t>Réunions &amp; AG arbitres</t>
  </si>
  <si>
    <t>Catering arbitres &amp; staff</t>
  </si>
  <si>
    <t>Frais arbitrage (inclus déplacements)</t>
  </si>
  <si>
    <t>Détermination du X (sans Qualifications)</t>
  </si>
  <si>
    <t>TOTAL (sans Qualifications)</t>
  </si>
  <si>
    <t>Frais arbitrage (Y = 50,-€)</t>
  </si>
  <si>
    <t>Compensation arbitrage (Y = 50,-€)</t>
  </si>
  <si>
    <t>Arbitrage inter-province</t>
  </si>
  <si>
    <t>Stage pré-inter-province</t>
  </si>
  <si>
    <t>Rencontres Jeunes</t>
  </si>
  <si>
    <t>Frais inter-province</t>
  </si>
  <si>
    <t>Matériel pédagogique</t>
  </si>
  <si>
    <t>T-shirt/récompense</t>
  </si>
  <si>
    <t>Matériel (maillots)</t>
  </si>
  <si>
    <t>Entraineur Sélection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</si>
</sst>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5" xfId="0" applyFont="1" applyFill="1" applyBorder="1"/>
    <xf numFmtId="44" fontId="1" fillId="2" borderId="6" xfId="0" applyNumberFormat="1" applyFont="1" applyFill="1" applyBorder="1"/>
    <xf numFmtId="44" fontId="1" fillId="2" borderId="4" xfId="0" applyNumberFormat="1" applyFont="1" applyFill="1" applyBorder="1"/>
    <xf numFmtId="44" fontId="1" fillId="2" borderId="10" xfId="0" applyNumberFormat="1" applyFont="1" applyFill="1" applyBorder="1"/>
    <xf numFmtId="0" fontId="1" fillId="3" borderId="5" xfId="0" applyFont="1" applyFill="1" applyBorder="1"/>
    <xf numFmtId="44" fontId="1" fillId="3" borderId="6" xfId="0" applyNumberFormat="1" applyFont="1" applyFill="1" applyBorder="1"/>
    <xf numFmtId="44" fontId="1" fillId="3" borderId="4" xfId="0" applyNumberFormat="1" applyFont="1" applyFill="1" applyBorder="1"/>
    <xf numFmtId="44" fontId="1" fillId="3" borderId="10" xfId="0" applyNumberFormat="1" applyFont="1" applyFill="1" applyBorder="1"/>
    <xf numFmtId="0" fontId="0" fillId="2" borderId="5" xfId="0" applyFont="1" applyFill="1" applyBorder="1"/>
    <xf numFmtId="44" fontId="0" fillId="2" borderId="4" xfId="0" applyNumberFormat="1" applyFont="1" applyFill="1" applyBorder="1" applyAlignment="1">
      <alignment horizontal="center" wrapText="1"/>
    </xf>
    <xf numFmtId="0" fontId="0" fillId="3" borderId="5" xfId="0" applyFont="1" applyFill="1" applyBorder="1"/>
    <xf numFmtId="44" fontId="0" fillId="3" borderId="4" xfId="0" applyNumberFormat="1" applyFont="1" applyFill="1" applyBorder="1" applyAlignment="1">
      <alignment horizontal="center" wrapText="1"/>
    </xf>
    <xf numFmtId="44" fontId="1" fillId="2" borderId="5" xfId="0" applyNumberFormat="1" applyFont="1" applyFill="1" applyBorder="1"/>
    <xf numFmtId="44" fontId="1" fillId="3" borderId="5" xfId="0" applyNumberFormat="1" applyFont="1" applyFill="1" applyBorder="1"/>
    <xf numFmtId="0" fontId="0" fillId="4" borderId="0" xfId="0" applyFont="1" applyFill="1"/>
    <xf numFmtId="0" fontId="0" fillId="4" borderId="2" xfId="0" applyFont="1" applyFill="1" applyBorder="1"/>
    <xf numFmtId="44" fontId="0" fillId="4" borderId="2" xfId="0" applyNumberFormat="1" applyFont="1" applyFill="1" applyBorder="1" applyAlignment="1">
      <alignment horizontal="center"/>
    </xf>
    <xf numFmtId="44" fontId="0" fillId="4" borderId="8" xfId="0" applyNumberFormat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44" fontId="2" fillId="4" borderId="0" xfId="0" applyNumberFormat="1" applyFont="1" applyFill="1" applyBorder="1" applyAlignment="1">
      <alignment horizontal="center"/>
    </xf>
    <xf numFmtId="44" fontId="2" fillId="4" borderId="14" xfId="0" applyNumberFormat="1" applyFont="1" applyFill="1" applyBorder="1" applyAlignment="1">
      <alignment horizontal="center"/>
    </xf>
    <xf numFmtId="44" fontId="2" fillId="4" borderId="8" xfId="0" applyNumberFormat="1" applyFont="1" applyFill="1" applyBorder="1" applyAlignment="1">
      <alignment horizontal="center"/>
    </xf>
    <xf numFmtId="0" fontId="1" fillId="4" borderId="5" xfId="0" applyFont="1" applyFill="1" applyBorder="1"/>
    <xf numFmtId="44" fontId="1" fillId="4" borderId="5" xfId="0" applyNumberFormat="1" applyFont="1" applyFill="1" applyBorder="1" applyAlignment="1">
      <alignment horizontal="center"/>
    </xf>
    <xf numFmtId="44" fontId="1" fillId="4" borderId="6" xfId="0" applyNumberFormat="1" applyFont="1" applyFill="1" applyBorder="1" applyAlignment="1">
      <alignment horizontal="center"/>
    </xf>
    <xf numFmtId="44" fontId="1" fillId="4" borderId="10" xfId="0" applyNumberFormat="1" applyFont="1" applyFill="1" applyBorder="1" applyAlignment="1">
      <alignment horizontal="center"/>
    </xf>
    <xf numFmtId="44" fontId="1" fillId="4" borderId="4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left" indent="1"/>
    </xf>
    <xf numFmtId="44" fontId="0" fillId="4" borderId="2" xfId="0" applyNumberFormat="1" applyFont="1" applyFill="1" applyBorder="1"/>
    <xf numFmtId="44" fontId="0" fillId="4" borderId="0" xfId="0" applyNumberFormat="1" applyFont="1" applyFill="1" applyBorder="1"/>
    <xf numFmtId="44" fontId="0" fillId="4" borderId="14" xfId="0" applyNumberFormat="1" applyFont="1" applyFill="1" applyBorder="1"/>
    <xf numFmtId="44" fontId="0" fillId="4" borderId="8" xfId="0" applyNumberFormat="1" applyFont="1" applyFill="1" applyBorder="1"/>
    <xf numFmtId="0" fontId="2" fillId="4" borderId="1" xfId="0" applyFont="1" applyFill="1" applyBorder="1" applyAlignment="1">
      <alignment horizontal="left" indent="1"/>
    </xf>
    <xf numFmtId="44" fontId="2" fillId="4" borderId="1" xfId="0" applyNumberFormat="1" applyFont="1" applyFill="1" applyBorder="1"/>
    <xf numFmtId="44" fontId="2" fillId="4" borderId="3" xfId="0" applyNumberFormat="1" applyFont="1" applyFill="1" applyBorder="1"/>
    <xf numFmtId="44" fontId="2" fillId="4" borderId="13" xfId="0" applyNumberFormat="1" applyFont="1" applyFill="1" applyBorder="1"/>
    <xf numFmtId="44" fontId="2" fillId="4" borderId="7" xfId="0" applyNumberFormat="1" applyFont="1" applyFill="1" applyBorder="1"/>
    <xf numFmtId="0" fontId="2" fillId="4" borderId="2" xfId="0" applyFont="1" applyFill="1" applyBorder="1" applyAlignment="1">
      <alignment horizontal="left" indent="1"/>
    </xf>
    <xf numFmtId="44" fontId="2" fillId="4" borderId="2" xfId="0" applyNumberFormat="1" applyFont="1" applyFill="1" applyBorder="1"/>
    <xf numFmtId="44" fontId="2" fillId="4" borderId="0" xfId="0" applyNumberFormat="1" applyFont="1" applyFill="1" applyBorder="1"/>
    <xf numFmtId="44" fontId="2" fillId="4" borderId="14" xfId="0" applyNumberFormat="1" applyFont="1" applyFill="1" applyBorder="1"/>
    <xf numFmtId="44" fontId="2" fillId="4" borderId="8" xfId="0" applyNumberFormat="1" applyFont="1" applyFill="1" applyBorder="1"/>
    <xf numFmtId="0" fontId="0" fillId="4" borderId="11" xfId="0" applyFont="1" applyFill="1" applyBorder="1"/>
    <xf numFmtId="44" fontId="0" fillId="4" borderId="15" xfId="0" applyNumberFormat="1" applyFont="1" applyFill="1" applyBorder="1"/>
    <xf numFmtId="44" fontId="0" fillId="4" borderId="9" xfId="0" applyNumberFormat="1" applyFont="1" applyFill="1" applyBorder="1"/>
    <xf numFmtId="44" fontId="0" fillId="4" borderId="11" xfId="0" applyNumberFormat="1" applyFont="1" applyFill="1" applyBorder="1"/>
    <xf numFmtId="44" fontId="0" fillId="4" borderId="12" xfId="0" applyNumberFormat="1" applyFont="1" applyFill="1" applyBorder="1"/>
    <xf numFmtId="0" fontId="3" fillId="4" borderId="5" xfId="0" applyFont="1" applyFill="1" applyBorder="1"/>
    <xf numFmtId="44" fontId="3" fillId="4" borderId="5" xfId="0" applyNumberFormat="1" applyFont="1" applyFill="1" applyBorder="1"/>
    <xf numFmtId="44" fontId="3" fillId="4" borderId="6" xfId="0" applyNumberFormat="1" applyFont="1" applyFill="1" applyBorder="1"/>
    <xf numFmtId="44" fontId="3" fillId="4" borderId="10" xfId="0" applyNumberFormat="1" applyFont="1" applyFill="1" applyBorder="1"/>
    <xf numFmtId="44" fontId="3" fillId="4" borderId="4" xfId="0" applyNumberFormat="1" applyFont="1" applyFill="1" applyBorder="1"/>
    <xf numFmtId="0" fontId="0" fillId="4" borderId="2" xfId="0" applyFont="1" applyFill="1" applyBorder="1" applyAlignment="1">
      <alignment horizontal="right"/>
    </xf>
    <xf numFmtId="0" fontId="0" fillId="4" borderId="8" xfId="0" applyFont="1" applyFill="1" applyBorder="1"/>
    <xf numFmtId="44" fontId="3" fillId="4" borderId="8" xfId="0" applyNumberFormat="1" applyFont="1" applyFill="1" applyBorder="1"/>
    <xf numFmtId="44" fontId="3" fillId="4" borderId="2" xfId="0" applyNumberFormat="1" applyFont="1" applyFill="1" applyBorder="1"/>
    <xf numFmtId="44" fontId="3" fillId="4" borderId="0" xfId="0" applyNumberFormat="1" applyFont="1" applyFill="1" applyBorder="1"/>
    <xf numFmtId="44" fontId="3" fillId="4" borderId="14" xfId="0" applyNumberFormat="1" applyFont="1" applyFill="1" applyBorder="1"/>
    <xf numFmtId="0" fontId="0" fillId="4" borderId="0" xfId="0" applyFont="1" applyFill="1" applyBorder="1"/>
    <xf numFmtId="0" fontId="0" fillId="4" borderId="14" xfId="0" applyFont="1" applyFill="1" applyBorder="1"/>
    <xf numFmtId="44" fontId="0" fillId="4" borderId="0" xfId="0" applyNumberFormat="1" applyFont="1" applyFill="1"/>
    <xf numFmtId="0" fontId="2" fillId="4" borderId="0" xfId="0" applyFont="1" applyFill="1" applyBorder="1" applyAlignment="1">
      <alignment horizontal="left" indent="1"/>
    </xf>
    <xf numFmtId="9" fontId="0" fillId="4" borderId="0" xfId="2" applyFont="1" applyFill="1" applyBorder="1"/>
    <xf numFmtId="0" fontId="3" fillId="4" borderId="2" xfId="0" applyFont="1" applyFill="1" applyBorder="1" applyAlignment="1">
      <alignment horizontal="left" indent="1"/>
    </xf>
    <xf numFmtId="0" fontId="0" fillId="4" borderId="2" xfId="0" applyFont="1" applyFill="1" applyBorder="1" applyAlignment="1">
      <alignment horizontal="left" indent="2"/>
    </xf>
    <xf numFmtId="44" fontId="1" fillId="4" borderId="0" xfId="0" applyNumberFormat="1" applyFont="1" applyFill="1" applyBorder="1"/>
    <xf numFmtId="0" fontId="1" fillId="4" borderId="2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2"/>
    </xf>
    <xf numFmtId="44" fontId="1" fillId="4" borderId="2" xfId="0" applyNumberFormat="1" applyFont="1" applyFill="1" applyBorder="1"/>
    <xf numFmtId="44" fontId="1" fillId="4" borderId="14" xfId="0" applyNumberFormat="1" applyFont="1" applyFill="1" applyBorder="1"/>
    <xf numFmtId="44" fontId="1" fillId="4" borderId="8" xfId="0" applyNumberFormat="1" applyFont="1" applyFill="1" applyBorder="1"/>
    <xf numFmtId="0" fontId="3" fillId="4" borderId="4" xfId="0" applyFont="1" applyFill="1" applyBorder="1"/>
    <xf numFmtId="44" fontId="0" fillId="2" borderId="5" xfId="0" applyNumberFormat="1" applyFont="1" applyFill="1" applyBorder="1" applyAlignment="1">
      <alignment horizontal="center" wrapText="1"/>
    </xf>
    <xf numFmtId="44" fontId="0" fillId="3" borderId="5" xfId="0" applyNumberFormat="1" applyFont="1" applyFill="1" applyBorder="1" applyAlignment="1">
      <alignment horizontal="center" wrapText="1"/>
    </xf>
    <xf numFmtId="44" fontId="1" fillId="3" borderId="5" xfId="0" applyNumberFormat="1" applyFont="1" applyFill="1" applyBorder="1" applyAlignment="1">
      <alignment horizontal="center"/>
    </xf>
    <xf numFmtId="44" fontId="1" fillId="3" borderId="4" xfId="0" applyNumberFormat="1" applyFont="1" applyFill="1" applyBorder="1" applyAlignment="1">
      <alignment horizontal="center"/>
    </xf>
    <xf numFmtId="0" fontId="0" fillId="4" borderId="4" xfId="0" applyFont="1" applyFill="1" applyBorder="1"/>
    <xf numFmtId="44" fontId="0" fillId="4" borderId="4" xfId="0" applyNumberFormat="1" applyFont="1" applyFill="1" applyBorder="1" applyAlignment="1">
      <alignment horizontal="center"/>
    </xf>
    <xf numFmtId="44" fontId="0" fillId="2" borderId="5" xfId="0" applyNumberFormat="1" applyFont="1" applyFill="1" applyBorder="1" applyAlignment="1">
      <alignment horizontal="center" wrapText="1"/>
    </xf>
    <xf numFmtId="44" fontId="0" fillId="2" borderId="6" xfId="0" applyNumberFormat="1" applyFont="1" applyFill="1" applyBorder="1" applyAlignment="1">
      <alignment horizontal="center" wrapText="1"/>
    </xf>
    <xf numFmtId="44" fontId="0" fillId="2" borderId="10" xfId="0" applyNumberFormat="1" applyFont="1" applyFill="1" applyBorder="1" applyAlignment="1">
      <alignment horizontal="center" wrapText="1"/>
    </xf>
    <xf numFmtId="44" fontId="0" fillId="3" borderId="5" xfId="0" applyNumberFormat="1" applyFont="1" applyFill="1" applyBorder="1" applyAlignment="1">
      <alignment horizontal="center" wrapText="1"/>
    </xf>
    <xf numFmtId="44" fontId="0" fillId="3" borderId="6" xfId="0" applyNumberFormat="1" applyFont="1" applyFill="1" applyBorder="1" applyAlignment="1">
      <alignment horizontal="center" wrapText="1"/>
    </xf>
    <xf numFmtId="44" fontId="0" fillId="3" borderId="10" xfId="0" applyNumberFormat="1" applyFont="1" applyFill="1" applyBorder="1" applyAlignment="1">
      <alignment horizontal="center" wrapText="1"/>
    </xf>
    <xf numFmtId="44" fontId="1" fillId="3" borderId="5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44" fontId="1" fillId="3" borderId="10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60CF1CF0-FC4D-47F8-83DA-06AAF8E3B29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42D9-B8FD-42C0-9261-DF89852C1D20}">
  <dimension ref="A1:Q82"/>
  <sheetViews>
    <sheetView tabSelected="1" zoomScaleNormal="100" workbookViewId="0">
      <pane ySplit="2" topLeftCell="A51" activePane="bottomLeft" state="frozen"/>
      <selection pane="bottomLeft" activeCell="D67" sqref="D67"/>
    </sheetView>
  </sheetViews>
  <sheetFormatPr defaultRowHeight="15" outlineLevelRow="2"/>
  <cols>
    <col min="1" max="1" width="35.85546875" style="15" customWidth="1"/>
    <col min="2" max="3" width="13.140625" style="61" customWidth="1"/>
    <col min="4" max="4" width="12" style="61" bestFit="1" customWidth="1"/>
    <col min="5" max="6" width="13.42578125" style="61" hidden="1" customWidth="1"/>
    <col min="7" max="8" width="12" style="61" bestFit="1" customWidth="1"/>
    <col min="9" max="9" width="3.7109375" style="15" customWidth="1"/>
    <col min="10" max="10" width="30.140625" style="15" bestFit="1" customWidth="1"/>
    <col min="11" max="12" width="13.28515625" style="61" customWidth="1"/>
    <col min="13" max="13" width="12" style="61" bestFit="1" customWidth="1"/>
    <col min="14" max="15" width="13.42578125" style="61" hidden="1" customWidth="1"/>
    <col min="16" max="17" width="12" style="61" bestFit="1" customWidth="1"/>
    <col min="18" max="16384" width="9.140625" style="15"/>
  </cols>
  <sheetData>
    <row r="1" spans="1:17" ht="30" customHeight="1">
      <c r="A1" s="9" t="s">
        <v>33</v>
      </c>
      <c r="B1" s="73" t="s">
        <v>57</v>
      </c>
      <c r="C1" s="10" t="s">
        <v>55</v>
      </c>
      <c r="D1" s="79" t="s">
        <v>54</v>
      </c>
      <c r="E1" s="80"/>
      <c r="F1" s="81"/>
      <c r="G1" s="10" t="s">
        <v>14</v>
      </c>
      <c r="H1" s="10" t="s">
        <v>15</v>
      </c>
      <c r="J1" s="11" t="s">
        <v>6</v>
      </c>
      <c r="K1" s="74" t="s">
        <v>57</v>
      </c>
      <c r="L1" s="12" t="s">
        <v>55</v>
      </c>
      <c r="M1" s="82" t="s">
        <v>54</v>
      </c>
      <c r="N1" s="83"/>
      <c r="O1" s="84"/>
      <c r="P1" s="12" t="s">
        <v>14</v>
      </c>
      <c r="Q1" s="12" t="s">
        <v>15</v>
      </c>
    </row>
    <row r="2" spans="1:17">
      <c r="A2" s="77"/>
      <c r="B2" s="78" t="s">
        <v>56</v>
      </c>
      <c r="C2" s="78" t="s">
        <v>18</v>
      </c>
      <c r="D2" s="78" t="s">
        <v>16</v>
      </c>
      <c r="E2" s="78" t="s">
        <v>17</v>
      </c>
      <c r="F2" s="78" t="s">
        <v>18</v>
      </c>
      <c r="G2" s="78"/>
      <c r="H2" s="78"/>
      <c r="J2" s="16"/>
      <c r="K2" s="17" t="s">
        <v>56</v>
      </c>
      <c r="L2" s="22" t="s">
        <v>18</v>
      </c>
      <c r="M2" s="19" t="s">
        <v>16</v>
      </c>
      <c r="N2" s="20" t="s">
        <v>17</v>
      </c>
      <c r="O2" s="21" t="s">
        <v>18</v>
      </c>
      <c r="P2" s="22"/>
      <c r="Q2" s="18"/>
    </row>
    <row r="3" spans="1:17">
      <c r="A3" s="23" t="s">
        <v>19</v>
      </c>
      <c r="B3" s="27">
        <f t="shared" ref="B3:H3" si="0">SUM(B4:B15)</f>
        <v>1685</v>
      </c>
      <c r="C3" s="27">
        <f t="shared" si="0"/>
        <v>1360</v>
      </c>
      <c r="D3" s="24">
        <f t="shared" si="0"/>
        <v>2560</v>
      </c>
      <c r="E3" s="25">
        <f t="shared" si="0"/>
        <v>1460</v>
      </c>
      <c r="F3" s="26">
        <f t="shared" si="0"/>
        <v>1100</v>
      </c>
      <c r="G3" s="27">
        <f t="shared" si="0"/>
        <v>3763.5</v>
      </c>
      <c r="H3" s="27">
        <f t="shared" si="0"/>
        <v>3768.5</v>
      </c>
      <c r="J3" s="23" t="s">
        <v>19</v>
      </c>
      <c r="K3" s="27">
        <f t="shared" ref="K3:Q3" si="1">SUM(K4:K12)</f>
        <v>0</v>
      </c>
      <c r="L3" s="27">
        <f t="shared" si="1"/>
        <v>0</v>
      </c>
      <c r="M3" s="24">
        <f t="shared" si="1"/>
        <v>0</v>
      </c>
      <c r="N3" s="25">
        <f t="shared" si="1"/>
        <v>0</v>
      </c>
      <c r="O3" s="26">
        <f t="shared" si="1"/>
        <v>0</v>
      </c>
      <c r="P3" s="27">
        <f t="shared" si="1"/>
        <v>15</v>
      </c>
      <c r="Q3" s="27">
        <f t="shared" si="1"/>
        <v>100</v>
      </c>
    </row>
    <row r="4" spans="1:17" outlineLevel="1">
      <c r="A4" s="28" t="s">
        <v>58</v>
      </c>
      <c r="B4" s="29">
        <v>500</v>
      </c>
      <c r="C4" s="32">
        <v>400</v>
      </c>
      <c r="D4" s="29">
        <f>E4+F4</f>
        <v>350</v>
      </c>
      <c r="E4" s="30">
        <v>0</v>
      </c>
      <c r="F4" s="31">
        <v>350</v>
      </c>
      <c r="G4" s="32">
        <f>250+250+250</f>
        <v>750</v>
      </c>
      <c r="H4" s="32">
        <f>400+400</f>
        <v>800</v>
      </c>
      <c r="J4" s="33" t="s">
        <v>36</v>
      </c>
      <c r="K4" s="34">
        <v>0</v>
      </c>
      <c r="L4" s="37">
        <v>0</v>
      </c>
      <c r="M4" s="34">
        <f>N4+O4</f>
        <v>0</v>
      </c>
      <c r="N4" s="35">
        <v>0</v>
      </c>
      <c r="O4" s="36">
        <v>0</v>
      </c>
      <c r="P4" s="37">
        <v>0</v>
      </c>
      <c r="Q4" s="37">
        <v>100</v>
      </c>
    </row>
    <row r="5" spans="1:17" outlineLevel="1">
      <c r="A5" s="28" t="s">
        <v>20</v>
      </c>
      <c r="B5" s="29">
        <v>300</v>
      </c>
      <c r="C5" s="32">
        <v>200</v>
      </c>
      <c r="D5" s="29">
        <f t="shared" ref="D5:D8" si="2">E5+F5</f>
        <v>520</v>
      </c>
      <c r="E5" s="30">
        <v>320</v>
      </c>
      <c r="F5" s="31">
        <v>200</v>
      </c>
      <c r="G5" s="32">
        <v>300</v>
      </c>
      <c r="H5" s="32">
        <v>400</v>
      </c>
      <c r="J5" s="38" t="s">
        <v>12</v>
      </c>
      <c r="K5" s="39">
        <v>0</v>
      </c>
      <c r="L5" s="42">
        <v>0</v>
      </c>
      <c r="M5" s="39">
        <f>N5+O5</f>
        <v>0</v>
      </c>
      <c r="N5" s="40">
        <v>0</v>
      </c>
      <c r="O5" s="41">
        <v>0</v>
      </c>
      <c r="P5" s="42">
        <v>15</v>
      </c>
      <c r="Q5" s="42">
        <v>0</v>
      </c>
    </row>
    <row r="6" spans="1:17" outlineLevel="1">
      <c r="A6" s="28" t="s">
        <v>21</v>
      </c>
      <c r="B6" s="29">
        <v>500</v>
      </c>
      <c r="C6" s="32">
        <v>450</v>
      </c>
      <c r="D6" s="29">
        <f t="shared" si="2"/>
        <v>1180</v>
      </c>
      <c r="E6" s="30">
        <v>730</v>
      </c>
      <c r="F6" s="31">
        <v>450</v>
      </c>
      <c r="G6" s="32">
        <v>850</v>
      </c>
      <c r="H6" s="32">
        <v>1200</v>
      </c>
      <c r="J6" s="16"/>
      <c r="K6" s="39"/>
      <c r="L6" s="42"/>
      <c r="M6" s="39"/>
      <c r="N6" s="40"/>
      <c r="O6" s="31"/>
      <c r="P6" s="32"/>
      <c r="Q6" s="32"/>
    </row>
    <row r="7" spans="1:17" outlineLevel="1">
      <c r="A7" s="28" t="s">
        <v>23</v>
      </c>
      <c r="B7" s="29">
        <v>160</v>
      </c>
      <c r="C7" s="32">
        <v>160</v>
      </c>
      <c r="D7" s="29">
        <f t="shared" si="2"/>
        <v>160</v>
      </c>
      <c r="E7" s="30">
        <v>160</v>
      </c>
      <c r="F7" s="31">
        <v>0</v>
      </c>
      <c r="G7" s="32">
        <v>160</v>
      </c>
      <c r="H7" s="32">
        <v>160</v>
      </c>
      <c r="J7" s="16"/>
      <c r="K7" s="39"/>
      <c r="L7" s="42"/>
      <c r="M7" s="39"/>
      <c r="N7" s="40"/>
      <c r="O7" s="31"/>
      <c r="P7" s="32"/>
      <c r="Q7" s="32"/>
    </row>
    <row r="8" spans="1:17" outlineLevel="1">
      <c r="A8" s="28" t="s">
        <v>24</v>
      </c>
      <c r="B8" s="29">
        <v>25</v>
      </c>
      <c r="C8" s="32">
        <v>100</v>
      </c>
      <c r="D8" s="29">
        <f t="shared" si="2"/>
        <v>100</v>
      </c>
      <c r="E8" s="30">
        <v>50</v>
      </c>
      <c r="F8" s="31">
        <v>50</v>
      </c>
      <c r="G8" s="32">
        <v>100</v>
      </c>
      <c r="H8" s="32">
        <v>100</v>
      </c>
      <c r="J8" s="16"/>
      <c r="K8" s="39"/>
      <c r="L8" s="42"/>
      <c r="M8" s="39"/>
      <c r="N8" s="40"/>
      <c r="O8" s="31"/>
      <c r="P8" s="32"/>
      <c r="Q8" s="32"/>
    </row>
    <row r="9" spans="1:17" outlineLevel="1">
      <c r="A9" s="28" t="s">
        <v>4</v>
      </c>
      <c r="B9" s="29">
        <v>70</v>
      </c>
      <c r="C9" s="32">
        <v>0</v>
      </c>
      <c r="D9" s="29">
        <f>E9+F9</f>
        <v>50</v>
      </c>
      <c r="E9" s="30">
        <v>0</v>
      </c>
      <c r="F9" s="31">
        <f>E11/3</f>
        <v>50</v>
      </c>
      <c r="G9" s="32">
        <v>350</v>
      </c>
      <c r="H9" s="32">
        <v>350</v>
      </c>
      <c r="J9" s="16"/>
      <c r="K9" s="29"/>
      <c r="L9" s="32"/>
      <c r="M9" s="29"/>
      <c r="N9" s="30"/>
      <c r="O9" s="31"/>
      <c r="P9" s="32"/>
      <c r="Q9" s="32"/>
    </row>
    <row r="10" spans="1:17" outlineLevel="1">
      <c r="A10" s="28" t="s">
        <v>39</v>
      </c>
      <c r="B10" s="29">
        <v>130</v>
      </c>
      <c r="C10" s="32">
        <v>50</v>
      </c>
      <c r="D10" s="29">
        <f>E10+F10</f>
        <v>50</v>
      </c>
      <c r="E10" s="30">
        <v>50</v>
      </c>
      <c r="F10" s="31">
        <v>0</v>
      </c>
      <c r="G10" s="32">
        <v>50</v>
      </c>
      <c r="H10" s="32">
        <v>35</v>
      </c>
      <c r="J10" s="16"/>
      <c r="K10" s="29"/>
      <c r="L10" s="32"/>
      <c r="M10" s="29"/>
      <c r="N10" s="30"/>
      <c r="O10" s="31"/>
      <c r="P10" s="32"/>
      <c r="Q10" s="32"/>
    </row>
    <row r="11" spans="1:17" outlineLevel="1">
      <c r="A11" s="28" t="s">
        <v>22</v>
      </c>
      <c r="B11" s="29">
        <v>0</v>
      </c>
      <c r="C11" s="32">
        <v>0</v>
      </c>
      <c r="D11" s="29">
        <f>E11+F11</f>
        <v>150</v>
      </c>
      <c r="E11" s="30">
        <v>150</v>
      </c>
      <c r="F11" s="31">
        <v>0</v>
      </c>
      <c r="G11" s="32">
        <f>303.5+250</f>
        <v>553.5</v>
      </c>
      <c r="H11" s="32">
        <v>303.5</v>
      </c>
      <c r="J11" s="16"/>
      <c r="K11" s="39"/>
      <c r="L11" s="42"/>
      <c r="M11" s="39"/>
      <c r="N11" s="40"/>
      <c r="O11" s="31"/>
      <c r="P11" s="32"/>
      <c r="Q11" s="32"/>
    </row>
    <row r="12" spans="1:17" outlineLevel="1">
      <c r="A12" s="28" t="s">
        <v>5</v>
      </c>
      <c r="B12" s="29">
        <v>0</v>
      </c>
      <c r="C12" s="32">
        <v>0</v>
      </c>
      <c r="D12" s="29">
        <f t="shared" ref="D12" si="3">E12+F12</f>
        <v>0</v>
      </c>
      <c r="E12" s="30">
        <v>0</v>
      </c>
      <c r="F12" s="31">
        <v>0</v>
      </c>
      <c r="G12" s="32">
        <v>450</v>
      </c>
      <c r="H12" s="32">
        <v>220</v>
      </c>
      <c r="J12" s="16"/>
      <c r="K12" s="29"/>
      <c r="L12" s="32"/>
      <c r="M12" s="29"/>
      <c r="N12" s="30"/>
      <c r="O12" s="31"/>
      <c r="P12" s="32"/>
      <c r="Q12" s="32"/>
    </row>
    <row r="13" spans="1:17" outlineLevel="1">
      <c r="A13" s="28" t="s">
        <v>2</v>
      </c>
      <c r="B13" s="29">
        <v>0</v>
      </c>
      <c r="C13" s="32">
        <v>0</v>
      </c>
      <c r="D13" s="29">
        <f>E13+F13</f>
        <v>0</v>
      </c>
      <c r="E13" s="30">
        <v>0</v>
      </c>
      <c r="F13" s="31">
        <v>0</v>
      </c>
      <c r="G13" s="32">
        <v>50</v>
      </c>
      <c r="H13" s="32">
        <v>50</v>
      </c>
      <c r="J13" s="16"/>
      <c r="K13" s="39"/>
      <c r="L13" s="42"/>
      <c r="M13" s="39"/>
      <c r="N13" s="40"/>
      <c r="O13" s="31"/>
      <c r="P13" s="32"/>
      <c r="Q13" s="32"/>
    </row>
    <row r="14" spans="1:17" outlineLevel="1">
      <c r="A14" s="28" t="s">
        <v>3</v>
      </c>
      <c r="B14" s="29">
        <v>0</v>
      </c>
      <c r="C14" s="32">
        <v>0</v>
      </c>
      <c r="D14" s="29">
        <f>E14+F14</f>
        <v>0</v>
      </c>
      <c r="E14" s="30">
        <v>0</v>
      </c>
      <c r="F14" s="31">
        <v>0</v>
      </c>
      <c r="G14" s="32">
        <v>50</v>
      </c>
      <c r="H14" s="32">
        <v>50</v>
      </c>
      <c r="J14" s="16"/>
      <c r="K14" s="39"/>
      <c r="L14" s="42"/>
      <c r="M14" s="39"/>
      <c r="N14" s="40"/>
      <c r="O14" s="31"/>
      <c r="P14" s="32"/>
      <c r="Q14" s="32"/>
    </row>
    <row r="15" spans="1:17" outlineLevel="1">
      <c r="A15" s="28" t="s">
        <v>12</v>
      </c>
      <c r="B15" s="29">
        <v>0</v>
      </c>
      <c r="C15" s="32">
        <v>0</v>
      </c>
      <c r="D15" s="29">
        <f>E15+F15</f>
        <v>0</v>
      </c>
      <c r="E15" s="30">
        <v>0</v>
      </c>
      <c r="F15" s="31">
        <v>0</v>
      </c>
      <c r="G15" s="32">
        <v>100</v>
      </c>
      <c r="H15" s="32">
        <v>100</v>
      </c>
      <c r="J15" s="16"/>
      <c r="K15" s="39"/>
      <c r="L15" s="42"/>
      <c r="M15" s="39"/>
      <c r="N15" s="40"/>
      <c r="O15" s="31"/>
      <c r="P15" s="32"/>
      <c r="Q15" s="32"/>
    </row>
    <row r="16" spans="1:17" outlineLevel="1">
      <c r="A16" s="16"/>
      <c r="B16" s="29"/>
      <c r="C16" s="32"/>
      <c r="D16" s="29"/>
      <c r="E16" s="30"/>
      <c r="F16" s="31"/>
      <c r="G16" s="32"/>
      <c r="H16" s="32"/>
      <c r="J16" s="43"/>
      <c r="K16" s="46"/>
      <c r="L16" s="45"/>
      <c r="M16" s="46"/>
      <c r="N16" s="47"/>
      <c r="O16" s="44"/>
      <c r="P16" s="45"/>
      <c r="Q16" s="45"/>
    </row>
    <row r="17" spans="1:17">
      <c r="A17" s="48" t="s">
        <v>49</v>
      </c>
      <c r="B17" s="52">
        <f>SUM(B18:B23)</f>
        <v>2650</v>
      </c>
      <c r="C17" s="52">
        <f t="shared" ref="C17:H17" si="4">SUM(C18:C23)</f>
        <v>650</v>
      </c>
      <c r="D17" s="49">
        <f t="shared" si="4"/>
        <v>1410</v>
      </c>
      <c r="E17" s="50">
        <f t="shared" si="4"/>
        <v>0</v>
      </c>
      <c r="F17" s="51">
        <f t="shared" si="4"/>
        <v>1410</v>
      </c>
      <c r="G17" s="52">
        <f t="shared" si="4"/>
        <v>1035</v>
      </c>
      <c r="H17" s="52">
        <f t="shared" si="4"/>
        <v>2025</v>
      </c>
      <c r="J17" s="48" t="s">
        <v>49</v>
      </c>
      <c r="K17" s="52">
        <f t="shared" ref="K17:Q17" si="5">SUM(K18:K22)</f>
        <v>2625</v>
      </c>
      <c r="L17" s="52">
        <f t="shared" si="5"/>
        <v>1337.5</v>
      </c>
      <c r="M17" s="49">
        <f t="shared" si="5"/>
        <v>1337.5</v>
      </c>
      <c r="N17" s="50">
        <f t="shared" si="5"/>
        <v>0</v>
      </c>
      <c r="O17" s="51">
        <f t="shared" si="5"/>
        <v>1337.5</v>
      </c>
      <c r="P17" s="52">
        <f t="shared" si="5"/>
        <v>220</v>
      </c>
      <c r="Q17" s="52">
        <f t="shared" si="5"/>
        <v>3220</v>
      </c>
    </row>
    <row r="18" spans="1:17" outlineLevel="1">
      <c r="A18" s="28" t="s">
        <v>25</v>
      </c>
      <c r="B18" s="29">
        <v>0</v>
      </c>
      <c r="C18" s="32">
        <v>50</v>
      </c>
      <c r="D18" s="29">
        <f>E18+F18</f>
        <v>500</v>
      </c>
      <c r="E18" s="30">
        <v>0</v>
      </c>
      <c r="F18" s="31">
        <f>50+450</f>
        <v>500</v>
      </c>
      <c r="G18" s="32">
        <f>50+50</f>
        <v>100</v>
      </c>
      <c r="H18" s="32">
        <f>50+50</f>
        <v>100</v>
      </c>
      <c r="J18" s="28" t="s">
        <v>35</v>
      </c>
      <c r="K18" s="29">
        <v>0</v>
      </c>
      <c r="L18" s="32">
        <v>25</v>
      </c>
      <c r="M18" s="29">
        <f>N18+O18</f>
        <v>25</v>
      </c>
      <c r="N18" s="30">
        <v>0</v>
      </c>
      <c r="O18" s="31">
        <v>25</v>
      </c>
      <c r="P18" s="32">
        <v>220</v>
      </c>
      <c r="Q18" s="32">
        <v>220</v>
      </c>
    </row>
    <row r="19" spans="1:17" outlineLevel="1">
      <c r="A19" s="28" t="s">
        <v>59</v>
      </c>
      <c r="B19" s="29">
        <v>450</v>
      </c>
      <c r="C19" s="32">
        <v>200</v>
      </c>
      <c r="D19" s="29">
        <f t="shared" ref="D19:D22" si="6">E19+F19</f>
        <v>200</v>
      </c>
      <c r="E19" s="30">
        <v>0</v>
      </c>
      <c r="F19" s="31">
        <v>200</v>
      </c>
      <c r="G19" s="32">
        <v>350</v>
      </c>
      <c r="H19" s="32">
        <v>350</v>
      </c>
      <c r="J19" s="28" t="s">
        <v>34</v>
      </c>
      <c r="K19" s="29">
        <f>125*21</f>
        <v>2625</v>
      </c>
      <c r="L19" s="32">
        <f>125*21*1/2</f>
        <v>1312.5</v>
      </c>
      <c r="M19" s="29">
        <f>N19+O19</f>
        <v>1312.5</v>
      </c>
      <c r="N19" s="30">
        <v>0</v>
      </c>
      <c r="O19" s="31">
        <f>125*21*1/2</f>
        <v>1312.5</v>
      </c>
      <c r="P19" s="32">
        <v>0</v>
      </c>
      <c r="Q19" s="32">
        <v>3000</v>
      </c>
    </row>
    <row r="20" spans="1:17" outlineLevel="1">
      <c r="A20" s="28" t="s">
        <v>45</v>
      </c>
      <c r="B20" s="29">
        <v>2000</v>
      </c>
      <c r="C20" s="32">
        <v>400</v>
      </c>
      <c r="D20" s="29">
        <f t="shared" si="6"/>
        <v>400</v>
      </c>
      <c r="E20" s="30">
        <v>0</v>
      </c>
      <c r="F20" s="31">
        <v>400</v>
      </c>
      <c r="G20" s="32">
        <v>400</v>
      </c>
      <c r="H20" s="32">
        <v>400</v>
      </c>
      <c r="J20" s="16"/>
      <c r="K20" s="29"/>
      <c r="L20" s="32"/>
      <c r="M20" s="29"/>
      <c r="N20" s="30"/>
      <c r="O20" s="31"/>
      <c r="P20" s="32"/>
      <c r="Q20" s="32"/>
    </row>
    <row r="21" spans="1:17" outlineLevel="1">
      <c r="A21" s="28" t="s">
        <v>28</v>
      </c>
      <c r="B21" s="29">
        <f>160+40</f>
        <v>200</v>
      </c>
      <c r="C21" s="32">
        <v>0</v>
      </c>
      <c r="D21" s="29">
        <f>E21+F21</f>
        <v>160</v>
      </c>
      <c r="E21" s="30">
        <v>0</v>
      </c>
      <c r="F21" s="31">
        <v>160</v>
      </c>
      <c r="G21" s="42">
        <v>160</v>
      </c>
      <c r="H21" s="42">
        <v>1150</v>
      </c>
      <c r="J21" s="16"/>
      <c r="K21" s="29"/>
      <c r="L21" s="32"/>
      <c r="M21" s="29"/>
      <c r="N21" s="30"/>
      <c r="O21" s="31"/>
      <c r="P21" s="32"/>
      <c r="Q21" s="32"/>
    </row>
    <row r="22" spans="1:17" outlineLevel="1">
      <c r="A22" s="38" t="s">
        <v>27</v>
      </c>
      <c r="B22" s="29">
        <v>0</v>
      </c>
      <c r="C22" s="32">
        <v>0</v>
      </c>
      <c r="D22" s="29">
        <f t="shared" si="6"/>
        <v>150</v>
      </c>
      <c r="E22" s="30">
        <v>0</v>
      </c>
      <c r="F22" s="31">
        <v>150</v>
      </c>
      <c r="G22" s="32">
        <v>0</v>
      </c>
      <c r="H22" s="32">
        <v>0</v>
      </c>
      <c r="J22" s="16"/>
      <c r="K22" s="29"/>
      <c r="L22" s="32"/>
      <c r="M22" s="29"/>
      <c r="N22" s="30"/>
      <c r="O22" s="31"/>
      <c r="P22" s="32"/>
      <c r="Q22" s="32"/>
    </row>
    <row r="23" spans="1:17" outlineLevel="1">
      <c r="A23" s="28" t="s">
        <v>26</v>
      </c>
      <c r="B23" s="29">
        <v>0</v>
      </c>
      <c r="C23" s="32">
        <v>0</v>
      </c>
      <c r="D23" s="29">
        <f>E23+F23</f>
        <v>0</v>
      </c>
      <c r="E23" s="30">
        <v>0</v>
      </c>
      <c r="F23" s="31">
        <v>0</v>
      </c>
      <c r="G23" s="32">
        <v>25</v>
      </c>
      <c r="H23" s="32">
        <v>25</v>
      </c>
      <c r="J23" s="16"/>
      <c r="K23" s="29"/>
      <c r="L23" s="32"/>
      <c r="M23" s="29"/>
      <c r="N23" s="30"/>
      <c r="O23" s="31"/>
      <c r="P23" s="32"/>
      <c r="Q23" s="32"/>
    </row>
    <row r="24" spans="1:17" outlineLevel="1">
      <c r="A24" s="53"/>
      <c r="B24" s="39"/>
      <c r="C24" s="42"/>
      <c r="D24" s="39"/>
      <c r="E24" s="40"/>
      <c r="F24" s="41"/>
      <c r="G24" s="54"/>
      <c r="H24" s="54"/>
      <c r="J24" s="43"/>
      <c r="K24" s="46"/>
      <c r="L24" s="45"/>
      <c r="M24" s="46"/>
      <c r="N24" s="47"/>
      <c r="O24" s="44"/>
      <c r="P24" s="45"/>
      <c r="Q24" s="45"/>
    </row>
    <row r="25" spans="1:17">
      <c r="A25" s="48" t="s">
        <v>51</v>
      </c>
      <c r="B25" s="52">
        <f>SUM(B26,B31,B34,B37)</f>
        <v>7920</v>
      </c>
      <c r="C25" s="52">
        <f t="shared" ref="C25:H25" si="7">SUM(C26,C31,C34,C37)</f>
        <v>2305</v>
      </c>
      <c r="D25" s="49">
        <f t="shared" si="7"/>
        <v>1505</v>
      </c>
      <c r="E25" s="50">
        <f t="shared" si="7"/>
        <v>0</v>
      </c>
      <c r="F25" s="51">
        <f t="shared" si="7"/>
        <v>1505</v>
      </c>
      <c r="G25" s="52">
        <f t="shared" si="7"/>
        <v>5426</v>
      </c>
      <c r="H25" s="52">
        <f t="shared" si="7"/>
        <v>6996</v>
      </c>
      <c r="J25" s="48" t="s">
        <v>51</v>
      </c>
      <c r="K25" s="52">
        <f>SUM(K26,K31,K34,K37)</f>
        <v>200</v>
      </c>
      <c r="L25" s="52">
        <f t="shared" ref="L25:Q25" si="8">SUM(L26,L31,L34,L37)</f>
        <v>100</v>
      </c>
      <c r="M25" s="49">
        <f t="shared" si="8"/>
        <v>100</v>
      </c>
      <c r="N25" s="50">
        <f t="shared" si="8"/>
        <v>0</v>
      </c>
      <c r="O25" s="51">
        <f t="shared" si="8"/>
        <v>100</v>
      </c>
      <c r="P25" s="52">
        <f t="shared" si="8"/>
        <v>1070</v>
      </c>
      <c r="Q25" s="52">
        <f t="shared" si="8"/>
        <v>1070</v>
      </c>
    </row>
    <row r="26" spans="1:17" outlineLevel="1">
      <c r="A26" s="64" t="s">
        <v>50</v>
      </c>
      <c r="B26" s="55">
        <f>SUM(B27:B30)</f>
        <v>310</v>
      </c>
      <c r="C26" s="55">
        <f t="shared" ref="C26:H26" si="9">SUM(C27:C30)</f>
        <v>180</v>
      </c>
      <c r="D26" s="56">
        <f t="shared" si="9"/>
        <v>180</v>
      </c>
      <c r="E26" s="57">
        <f t="shared" si="9"/>
        <v>0</v>
      </c>
      <c r="F26" s="58">
        <f t="shared" si="9"/>
        <v>180</v>
      </c>
      <c r="G26" s="55">
        <f t="shared" si="9"/>
        <v>685</v>
      </c>
      <c r="H26" s="55">
        <f t="shared" si="9"/>
        <v>1185</v>
      </c>
      <c r="J26" s="64" t="s">
        <v>50</v>
      </c>
      <c r="K26" s="55">
        <f>SUM(K27:K30)</f>
        <v>200</v>
      </c>
      <c r="L26" s="55">
        <f>SUM(L27:L30)</f>
        <v>100</v>
      </c>
      <c r="M26" s="56">
        <f t="shared" ref="M26:Q26" si="10">SUM(M27:M28)</f>
        <v>100</v>
      </c>
      <c r="N26" s="57">
        <f t="shared" si="10"/>
        <v>0</v>
      </c>
      <c r="O26" s="58">
        <f t="shared" si="10"/>
        <v>100</v>
      </c>
      <c r="P26" s="55">
        <f t="shared" si="10"/>
        <v>650</v>
      </c>
      <c r="Q26" s="55">
        <f t="shared" si="10"/>
        <v>650</v>
      </c>
    </row>
    <row r="27" spans="1:17" outlineLevel="2">
      <c r="A27" s="65" t="s">
        <v>25</v>
      </c>
      <c r="B27" s="29">
        <f>150+100</f>
        <v>250</v>
      </c>
      <c r="C27" s="32">
        <v>150</v>
      </c>
      <c r="D27" s="29">
        <f t="shared" ref="D27:D30" si="11">E27+F27</f>
        <v>150</v>
      </c>
      <c r="E27" s="30">
        <v>0</v>
      </c>
      <c r="F27" s="31">
        <v>150</v>
      </c>
      <c r="G27" s="32">
        <v>575</v>
      </c>
      <c r="H27" s="32">
        <v>575</v>
      </c>
      <c r="J27" s="65" t="s">
        <v>41</v>
      </c>
      <c r="K27" s="29">
        <v>0</v>
      </c>
      <c r="L27" s="32">
        <v>0</v>
      </c>
      <c r="M27" s="29">
        <f t="shared" ref="M27:M28" si="12">N27+O27</f>
        <v>0</v>
      </c>
      <c r="N27" s="40">
        <v>0</v>
      </c>
      <c r="O27" s="41">
        <v>0</v>
      </c>
      <c r="P27" s="42">
        <v>350</v>
      </c>
      <c r="Q27" s="42">
        <v>350</v>
      </c>
    </row>
    <row r="28" spans="1:17" outlineLevel="2">
      <c r="A28" s="65" t="s">
        <v>40</v>
      </c>
      <c r="B28" s="29">
        <v>60</v>
      </c>
      <c r="C28" s="32">
        <v>30</v>
      </c>
      <c r="D28" s="29">
        <f>E28+F28</f>
        <v>30</v>
      </c>
      <c r="E28" s="30">
        <v>0</v>
      </c>
      <c r="F28" s="31">
        <v>30</v>
      </c>
      <c r="G28" s="32">
        <v>60</v>
      </c>
      <c r="H28" s="32">
        <v>60</v>
      </c>
      <c r="J28" s="65" t="s">
        <v>42</v>
      </c>
      <c r="K28" s="29">
        <v>200</v>
      </c>
      <c r="L28" s="32">
        <v>100</v>
      </c>
      <c r="M28" s="29">
        <f t="shared" si="12"/>
        <v>100</v>
      </c>
      <c r="N28" s="40">
        <v>0</v>
      </c>
      <c r="O28" s="41">
        <v>100</v>
      </c>
      <c r="P28" s="42">
        <v>300</v>
      </c>
      <c r="Q28" s="42">
        <v>300</v>
      </c>
    </row>
    <row r="29" spans="1:17" outlineLevel="2">
      <c r="A29" s="65" t="s">
        <v>46</v>
      </c>
      <c r="B29" s="29">
        <v>0</v>
      </c>
      <c r="C29" s="32">
        <v>0</v>
      </c>
      <c r="D29" s="29">
        <f t="shared" si="11"/>
        <v>0</v>
      </c>
      <c r="E29" s="30">
        <v>0</v>
      </c>
      <c r="F29" s="31">
        <v>0</v>
      </c>
      <c r="G29" s="32">
        <v>0</v>
      </c>
      <c r="H29" s="32">
        <v>500</v>
      </c>
      <c r="J29" s="38"/>
      <c r="K29" s="29"/>
      <c r="L29" s="32"/>
      <c r="M29" s="29"/>
      <c r="N29" s="40"/>
      <c r="O29" s="41"/>
      <c r="P29" s="42"/>
      <c r="Q29" s="42"/>
    </row>
    <row r="30" spans="1:17" outlineLevel="2">
      <c r="A30" s="65" t="s">
        <v>26</v>
      </c>
      <c r="B30" s="29">
        <v>0</v>
      </c>
      <c r="C30" s="32">
        <v>0</v>
      </c>
      <c r="D30" s="29">
        <f t="shared" si="11"/>
        <v>0</v>
      </c>
      <c r="E30" s="30">
        <v>0</v>
      </c>
      <c r="F30" s="31">
        <v>0</v>
      </c>
      <c r="G30" s="32">
        <v>50</v>
      </c>
      <c r="H30" s="32">
        <v>50</v>
      </c>
      <c r="J30" s="38"/>
      <c r="K30" s="29"/>
      <c r="L30" s="32"/>
      <c r="M30" s="29"/>
      <c r="N30" s="40"/>
      <c r="O30" s="41"/>
      <c r="P30" s="42"/>
      <c r="Q30" s="42"/>
    </row>
    <row r="31" spans="1:17" outlineLevel="1">
      <c r="A31" s="67" t="s">
        <v>52</v>
      </c>
      <c r="B31" s="71">
        <f>SUM(B32:B33)</f>
        <v>100</v>
      </c>
      <c r="C31" s="71">
        <f t="shared" ref="C31:H31" si="13">SUM(C32:C33)</f>
        <v>100</v>
      </c>
      <c r="D31" s="69">
        <f t="shared" si="13"/>
        <v>100</v>
      </c>
      <c r="E31" s="66">
        <f t="shared" si="13"/>
        <v>0</v>
      </c>
      <c r="F31" s="70">
        <f t="shared" si="13"/>
        <v>100</v>
      </c>
      <c r="G31" s="71">
        <f t="shared" si="13"/>
        <v>800</v>
      </c>
      <c r="H31" s="71">
        <f t="shared" si="13"/>
        <v>800</v>
      </c>
      <c r="J31" s="67" t="s">
        <v>52</v>
      </c>
      <c r="K31" s="71">
        <f>SUM(K32:K33)</f>
        <v>0</v>
      </c>
      <c r="L31" s="71">
        <f>SUM(L32:L33)</f>
        <v>0</v>
      </c>
      <c r="M31" s="69">
        <f t="shared" ref="M31:Q31" si="14">SUM(M32:M33)</f>
        <v>0</v>
      </c>
      <c r="N31" s="66">
        <f t="shared" si="14"/>
        <v>0</v>
      </c>
      <c r="O31" s="70">
        <f t="shared" si="14"/>
        <v>0</v>
      </c>
      <c r="P31" s="71">
        <f t="shared" si="14"/>
        <v>50</v>
      </c>
      <c r="Q31" s="71">
        <f t="shared" si="14"/>
        <v>50</v>
      </c>
    </row>
    <row r="32" spans="1:17" s="59" customFormat="1" outlineLevel="2">
      <c r="A32" s="65" t="s">
        <v>47</v>
      </c>
      <c r="B32" s="29">
        <v>100</v>
      </c>
      <c r="C32" s="32">
        <v>100</v>
      </c>
      <c r="D32" s="29">
        <f>E32+F32</f>
        <v>100</v>
      </c>
      <c r="E32" s="30">
        <v>0</v>
      </c>
      <c r="F32" s="31">
        <v>100</v>
      </c>
      <c r="G32" s="32">
        <v>0</v>
      </c>
      <c r="H32" s="32">
        <v>0</v>
      </c>
      <c r="J32" s="65" t="s">
        <v>12</v>
      </c>
      <c r="K32" s="29">
        <v>0</v>
      </c>
      <c r="L32" s="32">
        <v>0</v>
      </c>
      <c r="M32" s="29">
        <f>N32+O32</f>
        <v>0</v>
      </c>
      <c r="N32" s="40">
        <v>0</v>
      </c>
      <c r="O32" s="41">
        <v>0</v>
      </c>
      <c r="P32" s="42">
        <v>50</v>
      </c>
      <c r="Q32" s="42">
        <v>50</v>
      </c>
    </row>
    <row r="33" spans="1:17" outlineLevel="2">
      <c r="A33" s="65" t="s">
        <v>30</v>
      </c>
      <c r="B33" s="29">
        <v>0</v>
      </c>
      <c r="C33" s="32">
        <v>0</v>
      </c>
      <c r="D33" s="29">
        <f>E33+F33</f>
        <v>0</v>
      </c>
      <c r="E33" s="30">
        <v>0</v>
      </c>
      <c r="F33" s="31">
        <v>0</v>
      </c>
      <c r="G33" s="32">
        <v>800</v>
      </c>
      <c r="H33" s="32">
        <v>800</v>
      </c>
      <c r="J33" s="28"/>
      <c r="K33" s="29"/>
      <c r="L33" s="32"/>
      <c r="M33" s="29"/>
      <c r="N33" s="40"/>
      <c r="O33" s="41"/>
      <c r="P33" s="42"/>
      <c r="Q33" s="42"/>
    </row>
    <row r="34" spans="1:17" outlineLevel="1">
      <c r="A34" s="64" t="s">
        <v>68</v>
      </c>
      <c r="B34" s="71">
        <f>SUM(B35:B36)</f>
        <v>800</v>
      </c>
      <c r="C34" s="71">
        <f t="shared" ref="C34:H34" si="15">SUM(C35:C36)</f>
        <v>950</v>
      </c>
      <c r="D34" s="69">
        <f t="shared" si="15"/>
        <v>150</v>
      </c>
      <c r="E34" s="66">
        <f t="shared" si="15"/>
        <v>0</v>
      </c>
      <c r="F34" s="70">
        <f t="shared" si="15"/>
        <v>150</v>
      </c>
      <c r="G34" s="71">
        <f t="shared" si="15"/>
        <v>960</v>
      </c>
      <c r="H34" s="71">
        <f t="shared" si="15"/>
        <v>1030</v>
      </c>
      <c r="J34" s="64" t="s">
        <v>68</v>
      </c>
      <c r="K34" s="71">
        <f>SUM(K35:K36)</f>
        <v>0</v>
      </c>
      <c r="L34" s="71">
        <f>SUM(L35:L36)</f>
        <v>0</v>
      </c>
      <c r="M34" s="69">
        <f t="shared" ref="M34:Q34" si="16">SUM(M35:M36)</f>
        <v>0</v>
      </c>
      <c r="N34" s="66">
        <f t="shared" si="16"/>
        <v>0</v>
      </c>
      <c r="O34" s="70">
        <f t="shared" si="16"/>
        <v>0</v>
      </c>
      <c r="P34" s="71">
        <f t="shared" si="16"/>
        <v>370</v>
      </c>
      <c r="Q34" s="71">
        <f t="shared" si="16"/>
        <v>370</v>
      </c>
    </row>
    <row r="35" spans="1:17" outlineLevel="2">
      <c r="A35" s="65" t="s">
        <v>48</v>
      </c>
      <c r="B35" s="29">
        <v>800</v>
      </c>
      <c r="C35" s="32">
        <v>800</v>
      </c>
      <c r="D35" s="29">
        <f>E35+F35</f>
        <v>0</v>
      </c>
      <c r="E35" s="30">
        <v>0</v>
      </c>
      <c r="F35" s="31">
        <v>0</v>
      </c>
      <c r="G35" s="32">
        <v>800</v>
      </c>
      <c r="H35" s="32">
        <v>800</v>
      </c>
      <c r="I35" s="59"/>
      <c r="J35" s="65" t="s">
        <v>43</v>
      </c>
      <c r="K35" s="29">
        <v>0</v>
      </c>
      <c r="L35" s="32">
        <v>0</v>
      </c>
      <c r="M35" s="29">
        <f t="shared" ref="M35:M36" si="17">N35+O35</f>
        <v>0</v>
      </c>
      <c r="N35" s="40">
        <v>0</v>
      </c>
      <c r="O35" s="41">
        <v>0</v>
      </c>
      <c r="P35" s="42">
        <v>220</v>
      </c>
      <c r="Q35" s="42">
        <v>220</v>
      </c>
    </row>
    <row r="36" spans="1:17" outlineLevel="2">
      <c r="A36" s="65" t="s">
        <v>25</v>
      </c>
      <c r="B36" s="29">
        <v>0</v>
      </c>
      <c r="C36" s="32">
        <v>150</v>
      </c>
      <c r="D36" s="29">
        <f t="shared" ref="D36" si="18">E36+F36</f>
        <v>150</v>
      </c>
      <c r="E36" s="30">
        <v>0</v>
      </c>
      <c r="F36" s="31">
        <v>150</v>
      </c>
      <c r="G36" s="32">
        <v>160</v>
      </c>
      <c r="H36" s="32">
        <v>230</v>
      </c>
      <c r="J36" s="65" t="s">
        <v>44</v>
      </c>
      <c r="K36" s="29">
        <v>0</v>
      </c>
      <c r="L36" s="32">
        <v>0</v>
      </c>
      <c r="M36" s="29">
        <f t="shared" si="17"/>
        <v>0</v>
      </c>
      <c r="N36" s="40">
        <v>0</v>
      </c>
      <c r="O36" s="41">
        <v>0</v>
      </c>
      <c r="P36" s="42">
        <v>150</v>
      </c>
      <c r="Q36" s="42">
        <v>150</v>
      </c>
    </row>
    <row r="37" spans="1:17" outlineLevel="1">
      <c r="A37" s="64" t="s">
        <v>31</v>
      </c>
      <c r="B37" s="71">
        <f>SUM(B38:B46)</f>
        <v>6710</v>
      </c>
      <c r="C37" s="71">
        <f t="shared" ref="C37:H37" si="19">SUM(C38:C46)</f>
        <v>1075</v>
      </c>
      <c r="D37" s="71">
        <f t="shared" si="19"/>
        <v>1075</v>
      </c>
      <c r="E37" s="71">
        <f t="shared" si="19"/>
        <v>0</v>
      </c>
      <c r="F37" s="71">
        <f t="shared" si="19"/>
        <v>1075</v>
      </c>
      <c r="G37" s="71">
        <f t="shared" si="19"/>
        <v>2981</v>
      </c>
      <c r="H37" s="71">
        <f t="shared" si="19"/>
        <v>3981</v>
      </c>
      <c r="J37" s="64" t="s">
        <v>31</v>
      </c>
      <c r="K37" s="71">
        <f>SUM(K38:K45)</f>
        <v>0</v>
      </c>
      <c r="L37" s="71">
        <f>SUM(L38:L45)</f>
        <v>0</v>
      </c>
      <c r="M37" s="69">
        <f t="shared" ref="M37:Q37" si="20">SUM(M38:M45)</f>
        <v>0</v>
      </c>
      <c r="N37" s="66">
        <f t="shared" si="20"/>
        <v>0</v>
      </c>
      <c r="O37" s="70">
        <f t="shared" si="20"/>
        <v>0</v>
      </c>
      <c r="P37" s="71">
        <f t="shared" si="20"/>
        <v>0</v>
      </c>
      <c r="Q37" s="71">
        <f t="shared" si="20"/>
        <v>0</v>
      </c>
    </row>
    <row r="38" spans="1:17" outlineLevel="2">
      <c r="A38" s="65" t="s">
        <v>25</v>
      </c>
      <c r="B38" s="29">
        <f>3*150</f>
        <v>450</v>
      </c>
      <c r="C38" s="32">
        <v>150</v>
      </c>
      <c r="D38" s="29">
        <f t="shared" ref="D38:D45" si="21">E38+F38</f>
        <v>150</v>
      </c>
      <c r="E38" s="30">
        <v>0</v>
      </c>
      <c r="F38" s="31">
        <v>150</v>
      </c>
      <c r="G38" s="32">
        <v>275</v>
      </c>
      <c r="H38" s="32">
        <v>275</v>
      </c>
      <c r="I38" s="59"/>
      <c r="J38" s="16" t="s">
        <v>0</v>
      </c>
      <c r="K38" s="39"/>
      <c r="L38" s="42"/>
      <c r="M38" s="39"/>
      <c r="N38" s="40"/>
      <c r="O38" s="41"/>
      <c r="P38" s="42"/>
      <c r="Q38" s="32"/>
    </row>
    <row r="39" spans="1:17" outlineLevel="2">
      <c r="A39" s="65" t="s">
        <v>73</v>
      </c>
      <c r="B39" s="29">
        <f>3*200</f>
        <v>600</v>
      </c>
      <c r="C39" s="32">
        <v>800</v>
      </c>
      <c r="D39" s="29">
        <f t="shared" si="21"/>
        <v>800</v>
      </c>
      <c r="E39" s="30">
        <v>0</v>
      </c>
      <c r="F39" s="31">
        <v>800</v>
      </c>
      <c r="G39" s="32">
        <v>1600</v>
      </c>
      <c r="H39" s="32">
        <v>2150</v>
      </c>
      <c r="J39" s="16"/>
      <c r="K39" s="29"/>
      <c r="L39" s="32"/>
      <c r="M39" s="29"/>
      <c r="N39" s="30"/>
      <c r="O39" s="31"/>
      <c r="P39" s="32"/>
      <c r="Q39" s="32"/>
    </row>
    <row r="40" spans="1:17" outlineLevel="2">
      <c r="A40" s="65" t="s">
        <v>66</v>
      </c>
      <c r="B40" s="29">
        <f>3*120</f>
        <v>360</v>
      </c>
      <c r="C40" s="32">
        <v>0</v>
      </c>
      <c r="D40" s="29">
        <v>0</v>
      </c>
      <c r="E40" s="30">
        <v>0</v>
      </c>
      <c r="F40" s="31">
        <v>0</v>
      </c>
      <c r="G40" s="32">
        <v>0</v>
      </c>
      <c r="H40" s="32">
        <v>0</v>
      </c>
      <c r="J40" s="16"/>
      <c r="K40" s="29"/>
      <c r="L40" s="32"/>
      <c r="M40" s="29"/>
      <c r="N40" s="30"/>
      <c r="O40" s="31"/>
      <c r="P40" s="32"/>
      <c r="Q40" s="32"/>
    </row>
    <row r="41" spans="1:17" outlineLevel="2">
      <c r="A41" s="65" t="s">
        <v>67</v>
      </c>
      <c r="B41" s="29">
        <f>(3*400)+(3*400)</f>
        <v>2400</v>
      </c>
      <c r="C41" s="32">
        <v>125</v>
      </c>
      <c r="D41" s="29">
        <f t="shared" si="21"/>
        <v>125</v>
      </c>
      <c r="E41" s="30">
        <v>0</v>
      </c>
      <c r="F41" s="31">
        <v>125</v>
      </c>
      <c r="G41" s="32">
        <v>250</v>
      </c>
      <c r="H41" s="32">
        <v>250</v>
      </c>
      <c r="J41" s="16" t="s">
        <v>0</v>
      </c>
      <c r="K41" s="39"/>
      <c r="L41" s="42"/>
      <c r="M41" s="39"/>
      <c r="N41" s="40"/>
      <c r="O41" s="41"/>
      <c r="P41" s="42"/>
      <c r="Q41" s="32"/>
    </row>
    <row r="42" spans="1:17" outlineLevel="2">
      <c r="A42" s="65" t="s">
        <v>69</v>
      </c>
      <c r="B42" s="29">
        <v>0</v>
      </c>
      <c r="C42" s="32">
        <v>0</v>
      </c>
      <c r="D42" s="29">
        <f t="shared" si="21"/>
        <v>0</v>
      </c>
      <c r="E42" s="30">
        <v>0</v>
      </c>
      <c r="F42" s="31">
        <v>0</v>
      </c>
      <c r="G42" s="32">
        <v>0</v>
      </c>
      <c r="H42" s="32">
        <v>400</v>
      </c>
      <c r="J42" s="16"/>
      <c r="K42" s="16"/>
      <c r="L42" s="54"/>
      <c r="M42" s="16"/>
      <c r="N42" s="59"/>
      <c r="O42" s="60"/>
      <c r="P42" s="54"/>
      <c r="Q42" s="54"/>
    </row>
    <row r="43" spans="1:17" outlineLevel="2">
      <c r="A43" s="65" t="s">
        <v>72</v>
      </c>
      <c r="B43" s="29">
        <f>(30*60)+100</f>
        <v>1900</v>
      </c>
      <c r="C43" s="32">
        <v>0</v>
      </c>
      <c r="D43" s="29">
        <f t="shared" si="21"/>
        <v>0</v>
      </c>
      <c r="E43" s="30">
        <v>0</v>
      </c>
      <c r="F43" s="31">
        <v>0</v>
      </c>
      <c r="G43" s="32">
        <v>380</v>
      </c>
      <c r="H43" s="32">
        <v>380</v>
      </c>
      <c r="J43" s="16"/>
      <c r="K43" s="29"/>
      <c r="L43" s="32"/>
      <c r="M43" s="29"/>
      <c r="N43" s="30"/>
      <c r="O43" s="31"/>
      <c r="P43" s="32"/>
      <c r="Q43" s="32"/>
    </row>
    <row r="44" spans="1:17" outlineLevel="2">
      <c r="A44" s="65" t="s">
        <v>29</v>
      </c>
      <c r="B44" s="29">
        <v>0</v>
      </c>
      <c r="C44" s="32">
        <v>0</v>
      </c>
      <c r="D44" s="29">
        <f>E44+F44</f>
        <v>0</v>
      </c>
      <c r="E44" s="30">
        <v>0</v>
      </c>
      <c r="F44" s="31">
        <v>0</v>
      </c>
      <c r="G44" s="32">
        <v>50</v>
      </c>
      <c r="H44" s="32">
        <v>100</v>
      </c>
      <c r="J44" s="16"/>
      <c r="K44" s="29"/>
      <c r="L44" s="32"/>
      <c r="M44" s="29"/>
      <c r="N44" s="30"/>
      <c r="O44" s="31"/>
      <c r="P44" s="32"/>
      <c r="Q44" s="32"/>
    </row>
    <row r="45" spans="1:17" outlineLevel="2">
      <c r="A45" s="68" t="s">
        <v>1</v>
      </c>
      <c r="B45" s="29">
        <v>0</v>
      </c>
      <c r="C45" s="32">
        <v>0</v>
      </c>
      <c r="D45" s="29">
        <f t="shared" si="21"/>
        <v>0</v>
      </c>
      <c r="E45" s="30">
        <v>0</v>
      </c>
      <c r="F45" s="31">
        <v>0</v>
      </c>
      <c r="G45" s="32">
        <v>426</v>
      </c>
      <c r="H45" s="32">
        <f>3*142</f>
        <v>426</v>
      </c>
      <c r="J45" s="16"/>
      <c r="K45" s="29"/>
      <c r="L45" s="32"/>
      <c r="M45" s="29"/>
      <c r="N45" s="30"/>
      <c r="O45" s="31"/>
      <c r="P45" s="32"/>
      <c r="Q45" s="32"/>
    </row>
    <row r="46" spans="1:17" outlineLevel="2">
      <c r="A46" s="68" t="s">
        <v>12</v>
      </c>
      <c r="B46" s="29">
        <v>1000</v>
      </c>
      <c r="C46" s="32">
        <v>0</v>
      </c>
      <c r="D46" s="29">
        <v>0</v>
      </c>
      <c r="E46" s="30"/>
      <c r="F46" s="31"/>
      <c r="G46" s="32">
        <v>0</v>
      </c>
      <c r="H46" s="32">
        <v>0</v>
      </c>
      <c r="J46" s="16"/>
      <c r="K46" s="29"/>
      <c r="L46" s="32"/>
      <c r="M46" s="29"/>
      <c r="N46" s="30"/>
      <c r="O46" s="31"/>
      <c r="P46" s="32"/>
      <c r="Q46" s="32"/>
    </row>
    <row r="47" spans="1:17">
      <c r="A47" s="16"/>
      <c r="B47" s="29"/>
      <c r="C47" s="32"/>
      <c r="D47" s="29"/>
      <c r="E47" s="30"/>
      <c r="F47" s="31"/>
      <c r="G47" s="32"/>
      <c r="H47" s="32"/>
      <c r="J47" s="16"/>
      <c r="K47" s="29"/>
      <c r="L47" s="32"/>
      <c r="M47" s="29"/>
      <c r="N47" s="30"/>
      <c r="O47" s="31"/>
      <c r="P47" s="32"/>
      <c r="Q47" s="32"/>
    </row>
    <row r="48" spans="1:17">
      <c r="A48" s="1" t="s">
        <v>32</v>
      </c>
      <c r="B48" s="3">
        <f t="shared" ref="B48:H48" si="22">B25+B17+B3</f>
        <v>12255</v>
      </c>
      <c r="C48" s="3">
        <f t="shared" si="22"/>
        <v>4315</v>
      </c>
      <c r="D48" s="13">
        <f t="shared" si="22"/>
        <v>5475</v>
      </c>
      <c r="E48" s="2">
        <f t="shared" si="22"/>
        <v>1460</v>
      </c>
      <c r="F48" s="4">
        <f t="shared" si="22"/>
        <v>4015</v>
      </c>
      <c r="G48" s="3">
        <f t="shared" si="22"/>
        <v>10224.5</v>
      </c>
      <c r="H48" s="3">
        <f t="shared" si="22"/>
        <v>12789.5</v>
      </c>
      <c r="J48" s="5" t="s">
        <v>32</v>
      </c>
      <c r="K48" s="7">
        <f t="shared" ref="K48:Q48" si="23">K25+K17+K3</f>
        <v>2825</v>
      </c>
      <c r="L48" s="7">
        <f t="shared" si="23"/>
        <v>1437.5</v>
      </c>
      <c r="M48" s="14">
        <f t="shared" si="23"/>
        <v>1437.5</v>
      </c>
      <c r="N48" s="6">
        <f t="shared" si="23"/>
        <v>0</v>
      </c>
      <c r="O48" s="8">
        <f t="shared" si="23"/>
        <v>1437.5</v>
      </c>
      <c r="P48" s="7">
        <f t="shared" si="23"/>
        <v>1305</v>
      </c>
      <c r="Q48" s="7">
        <f t="shared" si="23"/>
        <v>4390</v>
      </c>
    </row>
    <row r="49" spans="1:17">
      <c r="A49" s="59" t="s">
        <v>0</v>
      </c>
      <c r="B49" s="63"/>
      <c r="C49" s="63">
        <f>(C48-L48)/$L63</f>
        <v>0.41612436731742586</v>
      </c>
      <c r="D49" s="63">
        <f>(D48-M48)/$L63</f>
        <v>0.58387563268257414</v>
      </c>
      <c r="E49" s="30"/>
      <c r="F49" s="30"/>
      <c r="G49" s="30"/>
      <c r="H49" s="30"/>
      <c r="J49" s="59"/>
      <c r="K49" s="30"/>
      <c r="L49" s="30"/>
      <c r="M49" s="30"/>
      <c r="N49" s="30"/>
      <c r="O49" s="30"/>
      <c r="P49" s="30"/>
      <c r="Q49" s="30"/>
    </row>
    <row r="50" spans="1:17">
      <c r="A50" s="59"/>
      <c r="B50" s="63"/>
      <c r="C50" s="63"/>
      <c r="D50" s="63"/>
      <c r="E50" s="30"/>
      <c r="F50" s="30"/>
      <c r="G50" s="30"/>
      <c r="H50" s="30"/>
      <c r="J50" s="59"/>
      <c r="K50" s="30"/>
      <c r="L50" s="30"/>
      <c r="M50" s="30"/>
      <c r="N50" s="30"/>
      <c r="O50" s="30"/>
      <c r="P50" s="30"/>
      <c r="Q50" s="30"/>
    </row>
    <row r="51" spans="1:17">
      <c r="A51" s="48" t="s">
        <v>51</v>
      </c>
      <c r="B51" s="52">
        <f>SUM(B52)</f>
        <v>9800</v>
      </c>
      <c r="C51" s="52">
        <f t="shared" ref="C51:H51" si="24">SUM(C52)</f>
        <v>2200</v>
      </c>
      <c r="D51" s="49">
        <f t="shared" si="24"/>
        <v>0</v>
      </c>
      <c r="E51" s="50">
        <f t="shared" si="24"/>
        <v>0</v>
      </c>
      <c r="F51" s="51">
        <f t="shared" si="24"/>
        <v>0</v>
      </c>
      <c r="G51" s="52">
        <f t="shared" si="24"/>
        <v>1435</v>
      </c>
      <c r="H51" s="52">
        <f t="shared" si="24"/>
        <v>1955</v>
      </c>
      <c r="J51" s="48" t="s">
        <v>51</v>
      </c>
      <c r="K51" s="52">
        <f>SUM(K52)</f>
        <v>0</v>
      </c>
      <c r="L51" s="52">
        <f t="shared" ref="L51:Q51" si="25">SUM(L52)</f>
        <v>0</v>
      </c>
      <c r="M51" s="49">
        <f t="shared" si="25"/>
        <v>0</v>
      </c>
      <c r="N51" s="50">
        <f t="shared" si="25"/>
        <v>0</v>
      </c>
      <c r="O51" s="51">
        <f t="shared" si="25"/>
        <v>0</v>
      </c>
      <c r="P51" s="52">
        <f t="shared" si="25"/>
        <v>0</v>
      </c>
      <c r="Q51" s="52">
        <f t="shared" si="25"/>
        <v>0</v>
      </c>
    </row>
    <row r="52" spans="1:17" outlineLevel="1">
      <c r="A52" s="67" t="s">
        <v>53</v>
      </c>
      <c r="B52" s="71">
        <f>SUM(B53:B59)</f>
        <v>9800</v>
      </c>
      <c r="C52" s="71">
        <f t="shared" ref="C52" si="26">SUM(C53:C59)</f>
        <v>2200</v>
      </c>
      <c r="D52" s="69">
        <f t="shared" ref="D52" si="27">SUM(D53:D59)</f>
        <v>0</v>
      </c>
      <c r="E52" s="66">
        <f t="shared" ref="E52" si="28">SUM(E53:E59)</f>
        <v>0</v>
      </c>
      <c r="F52" s="70">
        <f t="shared" ref="F52" si="29">SUM(F53:F59)</f>
        <v>0</v>
      </c>
      <c r="G52" s="71">
        <f t="shared" ref="G52" si="30">SUM(G53:G59)</f>
        <v>1435</v>
      </c>
      <c r="H52" s="71">
        <f t="shared" ref="H52" si="31">SUM(H53:H59)</f>
        <v>1955</v>
      </c>
      <c r="J52" s="67" t="s">
        <v>53</v>
      </c>
      <c r="K52" s="71">
        <f t="shared" ref="K52:Q52" si="32">SUM(K54:K59)</f>
        <v>0</v>
      </c>
      <c r="L52" s="71">
        <f t="shared" si="32"/>
        <v>0</v>
      </c>
      <c r="M52" s="69">
        <f t="shared" si="32"/>
        <v>0</v>
      </c>
      <c r="N52" s="57">
        <f t="shared" si="32"/>
        <v>0</v>
      </c>
      <c r="O52" s="58">
        <f t="shared" si="32"/>
        <v>0</v>
      </c>
      <c r="P52" s="55">
        <f t="shared" si="32"/>
        <v>0</v>
      </c>
      <c r="Q52" s="55">
        <f t="shared" si="32"/>
        <v>0</v>
      </c>
    </row>
    <row r="53" spans="1:17" outlineLevel="2">
      <c r="A53" s="65" t="s">
        <v>25</v>
      </c>
      <c r="B53" s="29">
        <v>150</v>
      </c>
      <c r="C53" s="29">
        <v>0</v>
      </c>
      <c r="D53" s="29">
        <f t="shared" ref="D53:D59" si="33">E53+F53</f>
        <v>0</v>
      </c>
      <c r="E53" s="30">
        <v>0</v>
      </c>
      <c r="F53" s="31">
        <v>0</v>
      </c>
      <c r="G53" s="32">
        <v>0</v>
      </c>
      <c r="H53" s="32">
        <v>0</v>
      </c>
      <c r="J53" s="67"/>
      <c r="K53" s="69"/>
      <c r="L53" s="71"/>
      <c r="M53" s="69"/>
      <c r="N53" s="57"/>
      <c r="O53" s="58"/>
      <c r="P53" s="55"/>
      <c r="Q53" s="55"/>
    </row>
    <row r="54" spans="1:17" outlineLevel="2">
      <c r="A54" s="68" t="s">
        <v>61</v>
      </c>
      <c r="B54" s="29">
        <v>1300</v>
      </c>
      <c r="C54" s="32">
        <v>1000</v>
      </c>
      <c r="D54" s="29">
        <f t="shared" si="33"/>
        <v>0</v>
      </c>
      <c r="E54" s="30">
        <v>0</v>
      </c>
      <c r="F54" s="31">
        <v>0</v>
      </c>
      <c r="G54" s="32">
        <v>990</v>
      </c>
      <c r="H54" s="32">
        <v>1050</v>
      </c>
      <c r="J54" s="16"/>
      <c r="K54" s="16"/>
      <c r="L54" s="54"/>
      <c r="M54" s="16"/>
      <c r="N54" s="59"/>
      <c r="O54" s="60"/>
      <c r="P54" s="54"/>
      <c r="Q54" s="54"/>
    </row>
    <row r="55" spans="1:17" outlineLevel="2">
      <c r="A55" s="65" t="s">
        <v>60</v>
      </c>
      <c r="B55" s="29">
        <v>250</v>
      </c>
      <c r="C55" s="32">
        <v>200</v>
      </c>
      <c r="D55" s="29">
        <f t="shared" si="33"/>
        <v>0</v>
      </c>
      <c r="E55" s="30">
        <v>0</v>
      </c>
      <c r="F55" s="31">
        <v>0</v>
      </c>
      <c r="G55" s="32">
        <v>200</v>
      </c>
      <c r="H55" s="32">
        <v>200</v>
      </c>
      <c r="J55" s="16"/>
      <c r="K55" s="16"/>
      <c r="L55" s="54"/>
      <c r="M55" s="16"/>
      <c r="N55" s="59"/>
      <c r="O55" s="60"/>
      <c r="P55" s="54"/>
      <c r="Q55" s="54"/>
    </row>
    <row r="56" spans="1:17" outlineLevel="2">
      <c r="A56" s="65" t="s">
        <v>26</v>
      </c>
      <c r="B56" s="29">
        <v>100</v>
      </c>
      <c r="C56" s="32">
        <v>0</v>
      </c>
      <c r="D56" s="29">
        <f t="shared" si="33"/>
        <v>0</v>
      </c>
      <c r="E56" s="30">
        <v>0</v>
      </c>
      <c r="F56" s="31">
        <v>0</v>
      </c>
      <c r="G56" s="32">
        <v>45</v>
      </c>
      <c r="H56" s="32">
        <v>55</v>
      </c>
      <c r="J56" s="16"/>
      <c r="K56" s="29"/>
      <c r="L56" s="32"/>
      <c r="M56" s="29"/>
      <c r="N56" s="30"/>
      <c r="O56" s="31"/>
      <c r="P56" s="32"/>
      <c r="Q56" s="32"/>
    </row>
    <row r="57" spans="1:17" outlineLevel="2">
      <c r="A57" s="65" t="s">
        <v>71</v>
      </c>
      <c r="B57" s="29">
        <f>(50*10*14)+1000</f>
        <v>8000</v>
      </c>
      <c r="C57" s="32">
        <v>1000</v>
      </c>
      <c r="D57" s="29">
        <f t="shared" si="33"/>
        <v>0</v>
      </c>
      <c r="E57" s="30">
        <v>0</v>
      </c>
      <c r="F57" s="31">
        <v>0</v>
      </c>
      <c r="G57" s="32">
        <v>0</v>
      </c>
      <c r="H57" s="32">
        <v>450</v>
      </c>
      <c r="J57" s="16"/>
      <c r="K57" s="16"/>
      <c r="L57" s="54"/>
      <c r="M57" s="16"/>
      <c r="N57" s="59"/>
      <c r="O57" s="60"/>
      <c r="P57" s="54"/>
      <c r="Q57" s="54"/>
    </row>
    <row r="58" spans="1:17" outlineLevel="2">
      <c r="A58" s="65" t="s">
        <v>29</v>
      </c>
      <c r="B58" s="29">
        <v>0</v>
      </c>
      <c r="C58" s="32">
        <v>0</v>
      </c>
      <c r="D58" s="29">
        <f t="shared" si="33"/>
        <v>0</v>
      </c>
      <c r="E58" s="30">
        <v>0</v>
      </c>
      <c r="F58" s="31">
        <v>0</v>
      </c>
      <c r="G58" s="32">
        <v>100</v>
      </c>
      <c r="H58" s="32">
        <v>100</v>
      </c>
      <c r="J58" s="16"/>
      <c r="K58" s="56"/>
      <c r="L58" s="55"/>
      <c r="M58" s="56"/>
      <c r="N58" s="57"/>
      <c r="O58" s="58"/>
      <c r="P58" s="55"/>
      <c r="Q58" s="32"/>
    </row>
    <row r="59" spans="1:17" outlineLevel="2">
      <c r="A59" s="65" t="s">
        <v>70</v>
      </c>
      <c r="B59" s="29">
        <v>0</v>
      </c>
      <c r="C59" s="32">
        <v>0</v>
      </c>
      <c r="D59" s="29">
        <f t="shared" si="33"/>
        <v>0</v>
      </c>
      <c r="E59" s="30">
        <v>0</v>
      </c>
      <c r="F59" s="31">
        <v>0</v>
      </c>
      <c r="G59" s="32">
        <v>100</v>
      </c>
      <c r="H59" s="32">
        <v>100</v>
      </c>
      <c r="J59" s="16"/>
      <c r="K59" s="29"/>
      <c r="L59" s="32"/>
      <c r="M59" s="29"/>
      <c r="N59" s="30"/>
      <c r="O59" s="31"/>
      <c r="P59" s="32"/>
      <c r="Q59" s="32"/>
    </row>
    <row r="60" spans="1:17" outlineLevel="1">
      <c r="A60" s="16"/>
      <c r="B60" s="29"/>
      <c r="C60" s="32"/>
      <c r="D60" s="29"/>
      <c r="E60" s="30"/>
      <c r="F60" s="31"/>
      <c r="G60" s="32"/>
      <c r="H60" s="32"/>
      <c r="J60" s="16"/>
      <c r="K60" s="29"/>
      <c r="L60" s="32"/>
      <c r="M60" s="29"/>
      <c r="N60" s="30"/>
      <c r="O60" s="31"/>
      <c r="P60" s="32"/>
      <c r="Q60" s="32"/>
    </row>
    <row r="61" spans="1:17">
      <c r="A61" s="1" t="s">
        <v>32</v>
      </c>
      <c r="B61" s="3">
        <f>B48+B51</f>
        <v>22055</v>
      </c>
      <c r="C61" s="3">
        <f t="shared" ref="C61:H61" si="34">C48+C51</f>
        <v>6515</v>
      </c>
      <c r="D61" s="13">
        <f t="shared" si="34"/>
        <v>5475</v>
      </c>
      <c r="E61" s="2">
        <f t="shared" si="34"/>
        <v>1460</v>
      </c>
      <c r="F61" s="4">
        <f t="shared" si="34"/>
        <v>4015</v>
      </c>
      <c r="G61" s="3">
        <f t="shared" si="34"/>
        <v>11659.5</v>
      </c>
      <c r="H61" s="3">
        <f t="shared" si="34"/>
        <v>14744.5</v>
      </c>
      <c r="J61" s="5" t="s">
        <v>32</v>
      </c>
      <c r="K61" s="7">
        <f>K48+K51</f>
        <v>2825</v>
      </c>
      <c r="L61" s="7">
        <f t="shared" ref="L61:Q61" si="35">L48+L51</f>
        <v>1437.5</v>
      </c>
      <c r="M61" s="14">
        <f t="shared" si="35"/>
        <v>1437.5</v>
      </c>
      <c r="N61" s="6">
        <f t="shared" si="35"/>
        <v>0</v>
      </c>
      <c r="O61" s="8">
        <f t="shared" si="35"/>
        <v>1437.5</v>
      </c>
      <c r="P61" s="7">
        <f t="shared" si="35"/>
        <v>1305</v>
      </c>
      <c r="Q61" s="7">
        <f t="shared" si="35"/>
        <v>4390</v>
      </c>
    </row>
    <row r="62" spans="1:17">
      <c r="A62" s="59"/>
      <c r="B62" s="63"/>
      <c r="C62" s="63"/>
      <c r="D62" s="63"/>
      <c r="E62" s="30"/>
      <c r="F62" s="30"/>
      <c r="G62" s="30"/>
      <c r="H62" s="30"/>
      <c r="J62" s="59"/>
      <c r="K62" s="30"/>
      <c r="L62" s="30"/>
      <c r="M62" s="30"/>
      <c r="N62" s="30"/>
      <c r="O62" s="30"/>
      <c r="P62" s="30"/>
      <c r="Q62" s="30"/>
    </row>
    <row r="63" spans="1:17">
      <c r="A63" s="59" t="s">
        <v>38</v>
      </c>
      <c r="B63" s="30">
        <f>B61-K61</f>
        <v>19230</v>
      </c>
      <c r="C63" s="15"/>
      <c r="D63" s="30"/>
      <c r="E63" s="30"/>
      <c r="F63" s="30"/>
      <c r="G63" s="30"/>
      <c r="H63" s="30"/>
      <c r="J63" s="59" t="s">
        <v>38</v>
      </c>
      <c r="K63" s="30">
        <f>B48-K48</f>
        <v>9430</v>
      </c>
      <c r="L63" s="30">
        <f>C48+D48-L48-M48</f>
        <v>6915</v>
      </c>
      <c r="M63" s="30"/>
      <c r="N63" s="30"/>
      <c r="O63" s="30">
        <f>O70+L70</f>
        <v>9115</v>
      </c>
      <c r="P63" s="30"/>
      <c r="Q63" s="30"/>
    </row>
    <row r="64" spans="1:17">
      <c r="A64" s="5" t="s">
        <v>62</v>
      </c>
      <c r="B64" s="76">
        <v>5.3509565217391311</v>
      </c>
      <c r="C64" s="15"/>
      <c r="D64" s="30"/>
      <c r="E64" s="62"/>
      <c r="F64" s="30"/>
      <c r="G64" s="30"/>
      <c r="H64" s="30"/>
      <c r="J64" s="5" t="s">
        <v>37</v>
      </c>
      <c r="K64" s="75">
        <v>2.6239999999999997</v>
      </c>
      <c r="L64" s="85">
        <v>2.5117112152108021</v>
      </c>
      <c r="M64" s="86"/>
      <c r="N64" s="86"/>
      <c r="O64" s="87"/>
      <c r="P64" s="7">
        <v>2.6</v>
      </c>
      <c r="Q64" s="7">
        <v>2.6</v>
      </c>
    </row>
    <row r="65" spans="1:17">
      <c r="A65" s="38" t="s">
        <v>7</v>
      </c>
      <c r="B65" s="32">
        <f>(12*$B$64*90)</f>
        <v>5779.0330434782609</v>
      </c>
      <c r="C65" s="15"/>
      <c r="D65" s="30"/>
      <c r="E65" s="62"/>
      <c r="F65" s="30"/>
      <c r="G65" s="30"/>
      <c r="H65" s="30"/>
      <c r="J65" s="38" t="s">
        <v>7</v>
      </c>
      <c r="K65" s="29">
        <f>(12*$K$64*90)</f>
        <v>2833.9199999999996</v>
      </c>
      <c r="L65" s="29">
        <f>(12*$L$64*89)*C$49</f>
        <v>1116.2567686550078</v>
      </c>
      <c r="M65" s="29">
        <f t="shared" ref="M65:M69" si="36">N65+O65</f>
        <v>1566.2508091901286</v>
      </c>
      <c r="N65" s="40">
        <v>0</v>
      </c>
      <c r="O65" s="41">
        <f>(12*$L$64*89)*D$49</f>
        <v>1566.2508091901286</v>
      </c>
      <c r="P65" s="42">
        <v>2808</v>
      </c>
      <c r="Q65" s="42">
        <v>2808</v>
      </c>
    </row>
    <row r="66" spans="1:17">
      <c r="A66" s="38" t="s">
        <v>8</v>
      </c>
      <c r="B66" s="32">
        <f>(9*$B$64*80)</f>
        <v>3852.6886956521739</v>
      </c>
      <c r="C66" s="15"/>
      <c r="D66" s="30"/>
      <c r="E66" s="62"/>
      <c r="F66" s="30"/>
      <c r="G66" s="30"/>
      <c r="H66" s="30"/>
      <c r="J66" s="38" t="s">
        <v>8</v>
      </c>
      <c r="K66" s="29">
        <f>(9*$K$64*80)</f>
        <v>1889.2799999999997</v>
      </c>
      <c r="L66" s="29">
        <f>(9*$L$64*80)*C$49</f>
        <v>752.53265302584805</v>
      </c>
      <c r="M66" s="29">
        <f t="shared" ref="M66:M68" si="37">N66+O66</f>
        <v>1055.8994219259293</v>
      </c>
      <c r="N66" s="40">
        <v>0</v>
      </c>
      <c r="O66" s="41">
        <f>(9*$L$64*80)*D$49</f>
        <v>1055.8994219259293</v>
      </c>
      <c r="P66" s="42">
        <v>1404</v>
      </c>
      <c r="Q66" s="42">
        <v>1404</v>
      </c>
    </row>
    <row r="67" spans="1:17">
      <c r="A67" s="38" t="s">
        <v>9</v>
      </c>
      <c r="B67" s="32">
        <f>(1*$B$64*(1200))</f>
        <v>6421.1478260869571</v>
      </c>
      <c r="C67" s="15"/>
      <c r="D67" s="30"/>
      <c r="E67" s="62"/>
      <c r="F67" s="30"/>
      <c r="G67" s="30"/>
      <c r="H67" s="30"/>
      <c r="J67" s="38" t="s">
        <v>9</v>
      </c>
      <c r="K67" s="29">
        <f>(1*$K$64*(1200))</f>
        <v>3148.7999999999997</v>
      </c>
      <c r="L67" s="29">
        <f>(1*$L$64*(1093+100))*C$49</f>
        <v>1246.9047986942176</v>
      </c>
      <c r="M67" s="29">
        <f t="shared" si="37"/>
        <v>1749.5666810522691</v>
      </c>
      <c r="N67" s="40">
        <v>0</v>
      </c>
      <c r="O67" s="41">
        <f>(1*$L$64*(1093+100))*D$49</f>
        <v>1749.5666810522691</v>
      </c>
      <c r="P67" s="42">
        <v>3640</v>
      </c>
      <c r="Q67" s="42">
        <v>3640</v>
      </c>
    </row>
    <row r="68" spans="1:17">
      <c r="A68" s="38" t="s">
        <v>10</v>
      </c>
      <c r="B68" s="32">
        <f>(0.25*$B$64*(50+680+15))</f>
        <v>996.61565217391319</v>
      </c>
      <c r="C68" s="15"/>
      <c r="D68" s="30"/>
      <c r="E68" s="62"/>
      <c r="F68" s="30"/>
      <c r="G68" s="30"/>
      <c r="H68" s="30"/>
      <c r="J68" s="38" t="s">
        <v>10</v>
      </c>
      <c r="K68" s="29">
        <f>(0.25*$K$64*(50+680+15))</f>
        <v>488.71999999999991</v>
      </c>
      <c r="L68" s="29">
        <f>(0.25*$L$64*(54+680+14))*C$49</f>
        <v>195.44945293865777</v>
      </c>
      <c r="M68" s="29">
        <f t="shared" si="37"/>
        <v>274.24054430576223</v>
      </c>
      <c r="N68" s="40">
        <v>0</v>
      </c>
      <c r="O68" s="41">
        <f>(0.25*$L$64*(54+680+14))*D$49</f>
        <v>274.24054430576223</v>
      </c>
      <c r="P68" s="42">
        <v>650</v>
      </c>
      <c r="Q68" s="42">
        <v>650</v>
      </c>
    </row>
    <row r="69" spans="1:17">
      <c r="A69" s="38" t="s">
        <v>11</v>
      </c>
      <c r="B69" s="32">
        <f>(0.5*$B$64*(815))</f>
        <v>2180.5147826086959</v>
      </c>
      <c r="C69" s="15"/>
      <c r="D69" s="30"/>
      <c r="E69" s="30"/>
      <c r="F69" s="30"/>
      <c r="G69" s="30"/>
      <c r="H69" s="30"/>
      <c r="J69" s="38" t="s">
        <v>11</v>
      </c>
      <c r="K69" s="29">
        <f>(0.5*$K$64*(815))</f>
        <v>1069.28</v>
      </c>
      <c r="L69" s="29">
        <f>(0.5*$L$64*(108+814))*C$49</f>
        <v>481.82993478460554</v>
      </c>
      <c r="M69" s="29">
        <f t="shared" si="36"/>
        <v>676.06893542757427</v>
      </c>
      <c r="N69" s="40">
        <v>0</v>
      </c>
      <c r="O69" s="41">
        <f>(0.5*$L$64*(108+814))*D$49</f>
        <v>676.06893542757427</v>
      </c>
      <c r="P69" s="42">
        <v>1852.5</v>
      </c>
      <c r="Q69" s="42">
        <v>1852.5</v>
      </c>
    </row>
    <row r="70" spans="1:17">
      <c r="A70" s="5" t="s">
        <v>32</v>
      </c>
      <c r="B70" s="7">
        <f>SUM(B65:B69)</f>
        <v>19230</v>
      </c>
      <c r="C70" s="15"/>
      <c r="D70" s="30"/>
      <c r="E70" s="30"/>
      <c r="F70" s="30"/>
      <c r="G70" s="30"/>
      <c r="H70" s="30"/>
      <c r="J70" s="5" t="s">
        <v>32</v>
      </c>
      <c r="K70" s="14">
        <f t="shared" ref="K70:Q70" si="38">SUM(K65:K69)</f>
        <v>9429.9999999999982</v>
      </c>
      <c r="L70" s="14">
        <f t="shared" si="38"/>
        <v>3792.9736080983366</v>
      </c>
      <c r="M70" s="14">
        <f t="shared" si="38"/>
        <v>5322.0263919016643</v>
      </c>
      <c r="N70" s="6">
        <f t="shared" si="38"/>
        <v>0</v>
      </c>
      <c r="O70" s="8">
        <f t="shared" si="38"/>
        <v>5322.0263919016643</v>
      </c>
      <c r="P70" s="7">
        <f t="shared" si="38"/>
        <v>10354.5</v>
      </c>
      <c r="Q70" s="7">
        <f t="shared" si="38"/>
        <v>10354.5</v>
      </c>
    </row>
    <row r="71" spans="1:17">
      <c r="A71" s="59"/>
      <c r="B71" s="30"/>
      <c r="C71" s="30"/>
      <c r="D71" s="30"/>
      <c r="E71" s="30"/>
      <c r="F71" s="30"/>
      <c r="G71" s="30"/>
      <c r="H71" s="30"/>
      <c r="J71" s="59"/>
      <c r="K71" s="30"/>
      <c r="L71" s="30"/>
      <c r="M71" s="30"/>
      <c r="N71" s="30"/>
      <c r="O71" s="30"/>
      <c r="P71" s="30"/>
      <c r="Q71" s="30"/>
    </row>
    <row r="72" spans="1:17">
      <c r="A72" s="72" t="s">
        <v>13</v>
      </c>
      <c r="B72" s="49">
        <v>4750</v>
      </c>
      <c r="C72" s="52">
        <v>4750</v>
      </c>
      <c r="D72" s="52">
        <f t="shared" ref="D72:D73" si="39">E72+F72</f>
        <v>0</v>
      </c>
      <c r="E72" s="52">
        <v>0</v>
      </c>
      <c r="F72" s="52">
        <v>0</v>
      </c>
      <c r="G72" s="52">
        <v>4750</v>
      </c>
      <c r="H72" s="52">
        <v>5000</v>
      </c>
      <c r="J72" s="48" t="s">
        <v>13</v>
      </c>
      <c r="K72" s="49">
        <v>4750</v>
      </c>
      <c r="L72" s="49">
        <v>4750</v>
      </c>
      <c r="M72" s="49">
        <f>N72+O72</f>
        <v>0</v>
      </c>
      <c r="N72" s="50">
        <v>0</v>
      </c>
      <c r="O72" s="51">
        <v>0</v>
      </c>
      <c r="P72" s="50">
        <v>4750</v>
      </c>
      <c r="Q72" s="51">
        <v>5000</v>
      </c>
    </row>
    <row r="73" spans="1:17">
      <c r="A73" s="72" t="s">
        <v>64</v>
      </c>
      <c r="B73" s="52">
        <v>45000</v>
      </c>
      <c r="C73" s="52">
        <f>(829*48)*1/2</f>
        <v>19896</v>
      </c>
      <c r="D73" s="52">
        <f t="shared" si="39"/>
        <v>19896</v>
      </c>
      <c r="E73" s="52">
        <v>0</v>
      </c>
      <c r="F73" s="52">
        <f>(829*48)*1/2</f>
        <v>19896</v>
      </c>
      <c r="G73" s="52">
        <v>44500</v>
      </c>
      <c r="H73" s="52">
        <v>44500</v>
      </c>
      <c r="J73" s="48" t="s">
        <v>65</v>
      </c>
      <c r="K73" s="49">
        <v>45000</v>
      </c>
      <c r="L73" s="49">
        <f>(829*48)*1/2</f>
        <v>19896</v>
      </c>
      <c r="M73" s="49">
        <f>N73+O73</f>
        <v>19896</v>
      </c>
      <c r="N73" s="50">
        <v>0</v>
      </c>
      <c r="O73" s="51">
        <f>(829*48)*1/2</f>
        <v>19896</v>
      </c>
      <c r="P73" s="50">
        <v>44500</v>
      </c>
      <c r="Q73" s="51">
        <v>44500</v>
      </c>
    </row>
    <row r="74" spans="1:17">
      <c r="A74" s="16"/>
      <c r="B74" s="30"/>
      <c r="C74" s="30"/>
      <c r="D74" s="30"/>
      <c r="E74" s="30"/>
      <c r="F74" s="30"/>
      <c r="G74" s="30"/>
      <c r="H74" s="30"/>
      <c r="J74" s="59"/>
      <c r="K74" s="30"/>
      <c r="L74" s="30"/>
      <c r="M74" s="30"/>
      <c r="N74" s="30"/>
      <c r="O74" s="30"/>
      <c r="P74" s="30"/>
      <c r="Q74" s="30"/>
    </row>
    <row r="75" spans="1:17">
      <c r="A75" s="1" t="s">
        <v>16</v>
      </c>
      <c r="B75" s="13">
        <f>B61+B72+B73</f>
        <v>71805</v>
      </c>
      <c r="C75" s="13">
        <f>C61+C72+C73</f>
        <v>31161</v>
      </c>
      <c r="D75" s="13">
        <f t="shared" ref="D75:H75" si="40">D61+D72+D73</f>
        <v>25371</v>
      </c>
      <c r="E75" s="2">
        <f t="shared" si="40"/>
        <v>1460</v>
      </c>
      <c r="F75" s="4">
        <f t="shared" si="40"/>
        <v>23911</v>
      </c>
      <c r="G75" s="3">
        <f t="shared" si="40"/>
        <v>60909.5</v>
      </c>
      <c r="H75" s="3">
        <f t="shared" si="40"/>
        <v>64244.5</v>
      </c>
      <c r="J75" s="5" t="s">
        <v>16</v>
      </c>
      <c r="K75" s="14">
        <f>K61+K70+K72+K73</f>
        <v>62005</v>
      </c>
      <c r="L75" s="14">
        <f t="shared" ref="L75:Q75" si="41">L48+L70+L72+L73</f>
        <v>29876.473608098335</v>
      </c>
      <c r="M75" s="14">
        <f t="shared" si="41"/>
        <v>26655.526391901665</v>
      </c>
      <c r="N75" s="6">
        <f t="shared" si="41"/>
        <v>0</v>
      </c>
      <c r="O75" s="8">
        <f t="shared" si="41"/>
        <v>26655.526391901665</v>
      </c>
      <c r="P75" s="7">
        <f t="shared" si="41"/>
        <v>60909.5</v>
      </c>
      <c r="Q75" s="7">
        <f t="shared" si="41"/>
        <v>64244.5</v>
      </c>
    </row>
    <row r="76" spans="1:17">
      <c r="A76" s="1" t="s">
        <v>63</v>
      </c>
      <c r="B76" s="3">
        <f>B48+B72+B73</f>
        <v>62005</v>
      </c>
      <c r="C76" s="15"/>
      <c r="D76" s="15"/>
      <c r="E76" s="15"/>
      <c r="F76" s="15"/>
      <c r="G76" s="15"/>
      <c r="H76" s="15"/>
      <c r="J76" s="5" t="s">
        <v>63</v>
      </c>
      <c r="K76" s="7">
        <f>K48+B70+K72+K73</f>
        <v>71805</v>
      </c>
      <c r="L76" s="15"/>
      <c r="M76" s="15"/>
      <c r="N76" s="15"/>
      <c r="O76" s="15"/>
      <c r="P76" s="15"/>
      <c r="Q76" s="15"/>
    </row>
    <row r="77" spans="1:17">
      <c r="C77" s="15"/>
      <c r="D77" s="15"/>
      <c r="E77" s="15"/>
      <c r="F77" s="15"/>
      <c r="G77" s="15"/>
      <c r="H77" s="15"/>
    </row>
    <row r="78" spans="1:17">
      <c r="B78" s="15"/>
      <c r="C78" s="15"/>
      <c r="D78" s="15"/>
      <c r="E78" s="15"/>
      <c r="F78" s="15"/>
      <c r="G78" s="15"/>
      <c r="H78" s="15"/>
    </row>
    <row r="79" spans="1:17">
      <c r="B79" s="15"/>
      <c r="C79" s="15"/>
      <c r="D79" s="15"/>
      <c r="E79" s="15"/>
      <c r="F79" s="15"/>
      <c r="G79" s="15"/>
      <c r="H79" s="15"/>
    </row>
    <row r="80" spans="1:17">
      <c r="B80" s="15"/>
      <c r="C80" s="15"/>
      <c r="D80" s="15"/>
      <c r="E80" s="15"/>
      <c r="F80" s="15"/>
      <c r="G80" s="15"/>
      <c r="H80" s="15"/>
    </row>
    <row r="81" spans="2:8">
      <c r="B81" s="15"/>
      <c r="C81" s="15"/>
      <c r="D81" s="15"/>
      <c r="E81" s="15"/>
      <c r="F81" s="15"/>
      <c r="G81" s="15"/>
      <c r="H81" s="15"/>
    </row>
    <row r="82" spans="2:8">
      <c r="B82" s="15"/>
      <c r="C82" s="15"/>
      <c r="D82" s="15"/>
      <c r="E82" s="15"/>
      <c r="F82" s="15"/>
      <c r="G82" s="15"/>
      <c r="H82" s="15"/>
    </row>
  </sheetData>
  <mergeCells count="3">
    <mergeCell ref="D1:F1"/>
    <mergeCell ref="M1:O1"/>
    <mergeCell ref="L64:O64"/>
  </mergeCells>
  <pageMargins left="0.7" right="0.7" top="0.75" bottom="0.75" header="0.3" footer="0.3"/>
  <pageSetup paperSize="9" scale="7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2022-2023</vt:lpstr>
      <vt:lpstr>'Budget 2022-2023'!Print_Area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Cathelyns, Audrey</dc:creator>
  <cp:lastModifiedBy>Cathelyns, Audrey</cp:lastModifiedBy>
  <cp:lastPrinted>2021-09-01T18:34:21Z</cp:lastPrinted>
  <dcterms:created xsi:type="dcterms:W3CDTF">2021-08-24T11:44:12Z</dcterms:created>
  <dcterms:modified xsi:type="dcterms:W3CDTF">2022-04-22T16:00:41Z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2021-08-24T11:44:12Z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69d30953-8f59-4cd0-acd6-7a95b6948b6f</vt:lpwstr>
  </property>
  <property fmtid="{D5CDD505-2E9C-101B-9397-08002B2CF9AE}" pid="8" name="MSIP_Label_ea60d57e-af5b-4752-ac57-3e4f28ca11dc_ContentBits">
    <vt:lpwstr>0</vt:lpwstr>
  </property>
</Properties>
</file>